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953EFA91-9401-4D92-B929-6B73BE3EFEE3}" xr6:coauthVersionLast="47" xr6:coauthVersionMax="47" xr10:uidLastSave="{00000000-0000-0000-0000-000000000000}"/>
  <bookViews>
    <workbookView xWindow="-110" yWindow="-110" windowWidth="19420" windowHeight="11500" tabRatio="433" xr2:uid="{00000000-000D-0000-FFFF-FFFF00000000}"/>
  </bookViews>
  <sheets>
    <sheet name="AMPE-MCVE" sheetId="8" r:id="rId1"/>
    <sheet name="MMV" sheetId="10"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43" i="8" l="1"/>
  <c r="K143" i="8"/>
  <c r="J143" i="8"/>
  <c r="I143" i="8"/>
  <c r="R143" i="8"/>
  <c r="Q143" i="8"/>
  <c r="D143" i="8" l="1"/>
  <c r="C143" i="8"/>
  <c r="O143" i="8" l="1"/>
  <c r="I142" i="8"/>
  <c r="J142" i="8"/>
  <c r="K142" i="8"/>
  <c r="O142" i="8"/>
  <c r="R142" i="8" s="1"/>
  <c r="P142" i="8"/>
  <c r="Q142" i="8"/>
  <c r="P141" i="8"/>
  <c r="C143" i="10" l="1"/>
  <c r="D143" i="10" s="1"/>
  <c r="D142" i="8"/>
  <c r="C142" i="8"/>
  <c r="Q141" i="8"/>
  <c r="K141" i="8"/>
  <c r="J141" i="8"/>
  <c r="I141" i="8"/>
  <c r="C142" i="10" l="1"/>
  <c r="O141" i="8"/>
  <c r="R141" i="8" s="1"/>
  <c r="I140" i="8"/>
  <c r="J140" i="8"/>
  <c r="K140" i="8"/>
  <c r="P139" i="8"/>
  <c r="O140" i="8"/>
  <c r="R140" i="8" s="1"/>
  <c r="P140" i="8"/>
  <c r="Q140" i="8"/>
  <c r="D141" i="8" l="1"/>
  <c r="C141" i="8"/>
  <c r="C140" i="8"/>
  <c r="D140" i="8"/>
  <c r="N139" i="8"/>
  <c r="Q139" i="8" s="1"/>
  <c r="K139" i="8"/>
  <c r="J139" i="8"/>
  <c r="I139" i="8"/>
  <c r="N136" i="8"/>
  <c r="N138" i="8"/>
  <c r="C141" i="10" l="1"/>
  <c r="D142" i="10" s="1"/>
  <c r="C140" i="10"/>
  <c r="C139" i="8"/>
  <c r="N137" i="8"/>
  <c r="D141" i="10" l="1"/>
  <c r="O138" i="8"/>
  <c r="N135" i="8"/>
  <c r="N134" i="8"/>
  <c r="N133" i="8"/>
  <c r="O139" i="8" l="1"/>
  <c r="R139" i="8" s="1"/>
  <c r="D139" i="8" s="1"/>
  <c r="I138" i="8" l="1"/>
  <c r="J138" i="8"/>
  <c r="K138" i="8"/>
  <c r="Q138" i="8"/>
  <c r="R138" i="8"/>
  <c r="P138" i="8"/>
  <c r="C139" i="10" l="1"/>
  <c r="D140" i="10" s="1"/>
  <c r="D138" i="8"/>
  <c r="C138" i="8"/>
  <c r="C138" i="10" l="1"/>
  <c r="D139" i="10" s="1"/>
  <c r="K137" i="8"/>
  <c r="J137" i="8"/>
  <c r="I137" i="8"/>
  <c r="P137" i="8"/>
  <c r="Q137" i="8"/>
  <c r="O137" i="8" l="1"/>
  <c r="R137" i="8" s="1"/>
  <c r="D137" i="8" l="1"/>
  <c r="C137" i="8"/>
  <c r="I136" i="8"/>
  <c r="J136" i="8"/>
  <c r="K136" i="8"/>
  <c r="P136" i="8"/>
  <c r="Q136" i="8"/>
  <c r="C137" i="10" l="1"/>
  <c r="D138" i="10" s="1"/>
  <c r="C136" i="8"/>
  <c r="O136" i="8"/>
  <c r="R136" i="8" s="1"/>
  <c r="D136" i="8" s="1"/>
  <c r="C136" i="10" l="1"/>
  <c r="D137"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5" i="10" l="1"/>
  <c r="C134" i="8"/>
  <c r="Q134" i="8"/>
  <c r="D136" i="10" l="1"/>
  <c r="Q133" i="8"/>
  <c r="D134" i="8" l="1"/>
  <c r="N132" i="8"/>
  <c r="Q132" i="8" s="1"/>
  <c r="C134" i="10" l="1"/>
  <c r="D135" i="10" s="1"/>
  <c r="C133" i="8"/>
  <c r="D133" i="8"/>
  <c r="C133" i="10" l="1"/>
  <c r="D134" i="10" s="1"/>
  <c r="N131" i="8"/>
  <c r="Q131" i="8" s="1"/>
  <c r="D132" i="8" l="1"/>
  <c r="C132" i="8"/>
  <c r="C132" i="10" l="1"/>
  <c r="D133" i="10" s="1"/>
  <c r="C131" i="8"/>
  <c r="D131" i="8"/>
  <c r="N130" i="8"/>
  <c r="Q130" i="8" s="1"/>
  <c r="C131" i="10" l="1"/>
  <c r="D132" i="10" s="1"/>
  <c r="C130" i="8" l="1"/>
  <c r="D130" i="8" l="1"/>
  <c r="C130" i="10" s="1"/>
  <c r="D131" i="10" s="1"/>
  <c r="N126" i="8" l="1"/>
  <c r="Q126" i="8" s="1"/>
  <c r="N129" i="8"/>
  <c r="Q129" i="8" s="1"/>
  <c r="C129" i="8" l="1"/>
  <c r="D129" i="8"/>
  <c r="N128" i="8"/>
  <c r="Q128" i="8" s="1"/>
  <c r="C129" i="10" l="1"/>
  <c r="D130" i="10" s="1"/>
  <c r="N127" i="8"/>
  <c r="Q127" i="8" s="1"/>
  <c r="C128" i="8" l="1"/>
  <c r="D128" i="8"/>
  <c r="C128" i="10" l="1"/>
  <c r="D129" i="10" s="1"/>
  <c r="C127" i="8"/>
  <c r="D127" i="8" l="1"/>
  <c r="C127" i="10" l="1"/>
  <c r="D128" i="10" s="1"/>
  <c r="C126" i="8" l="1"/>
  <c r="D126" i="8"/>
  <c r="C126" i="10" l="1"/>
  <c r="D127" i="10" s="1"/>
  <c r="N125" i="8"/>
  <c r="Q125" i="8" s="1"/>
  <c r="N124" i="8"/>
  <c r="Q124" i="8" s="1"/>
  <c r="C125" i="8" l="1"/>
  <c r="D125" i="8"/>
  <c r="N123" i="8"/>
  <c r="Q123" i="8" s="1"/>
  <c r="C125" i="10" l="1"/>
  <c r="D126" i="10" s="1"/>
  <c r="D124" i="8" l="1"/>
  <c r="C124" i="8"/>
  <c r="N122" i="8"/>
  <c r="Q122" i="8" s="1"/>
  <c r="C124" i="10" l="1"/>
  <c r="D125" i="10" s="1"/>
  <c r="D123" i="8" l="1"/>
  <c r="C123" i="8"/>
  <c r="C123" i="10" l="1"/>
  <c r="D124" i="10" s="1"/>
  <c r="O121" i="8"/>
  <c r="N121" i="8"/>
  <c r="C122" i="8" l="1"/>
  <c r="D122" i="8"/>
  <c r="R121" i="8"/>
  <c r="Q121" i="8"/>
  <c r="P121" i="8"/>
  <c r="K121" i="8"/>
  <c r="J121" i="8"/>
  <c r="I121" i="8"/>
  <c r="P120" i="8"/>
  <c r="K120" i="8"/>
  <c r="J120" i="8"/>
  <c r="I120" i="8"/>
  <c r="N120" i="8"/>
  <c r="Q120" i="8" s="1"/>
  <c r="C122" i="10" l="1"/>
  <c r="D121" i="8"/>
  <c r="C121" i="8"/>
  <c r="N119" i="8"/>
  <c r="C121" i="10" l="1"/>
  <c r="D122" i="10" s="1"/>
  <c r="D123" i="10"/>
  <c r="O120" i="8"/>
  <c r="R120" i="8" s="1"/>
  <c r="Q119" i="8"/>
  <c r="C120" i="8" l="1"/>
  <c r="D120" i="8"/>
  <c r="C120" i="10" l="1"/>
  <c r="D121" i="10" s="1"/>
  <c r="K119" i="8"/>
  <c r="J119" i="8"/>
  <c r="I119" i="8"/>
  <c r="P119" i="8"/>
  <c r="O119" i="8"/>
  <c r="R119" i="8" s="1"/>
  <c r="C119" i="8" l="1"/>
  <c r="D119" i="8"/>
  <c r="N118" i="8"/>
  <c r="C119" i="10" l="1"/>
  <c r="D120" i="10" s="1"/>
  <c r="I118" i="8"/>
  <c r="J118" i="8"/>
  <c r="K118" i="8"/>
  <c r="Q118" i="8"/>
  <c r="O118" i="8"/>
  <c r="R118" i="8" s="1"/>
  <c r="P118" i="8"/>
  <c r="N117" i="8"/>
  <c r="C118" i="8" l="1"/>
  <c r="D118" i="8"/>
  <c r="O117" i="8"/>
  <c r="R117" i="8" s="1"/>
  <c r="P117" i="8"/>
  <c r="Q117" i="8"/>
  <c r="I117" i="8"/>
  <c r="J117" i="8"/>
  <c r="K117" i="8"/>
  <c r="C118" i="10" l="1"/>
  <c r="D119" i="10" s="1"/>
  <c r="C117" i="8"/>
  <c r="D117" i="8"/>
  <c r="N113" i="8"/>
  <c r="N114" i="8"/>
  <c r="N115" i="8"/>
  <c r="N116" i="8"/>
  <c r="C117" i="10" l="1"/>
  <c r="D118" i="10" s="1"/>
  <c r="P116" i="8"/>
  <c r="K116" i="8"/>
  <c r="J116" i="8"/>
  <c r="I116" i="8"/>
  <c r="C116" i="8" l="1"/>
  <c r="O116" i="8"/>
  <c r="R116" i="8" s="1"/>
  <c r="Q116" i="8"/>
  <c r="B5" i="3"/>
  <c r="B6" i="3"/>
  <c r="D116" i="8" l="1"/>
  <c r="C116" i="10" s="1"/>
  <c r="D117"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5" i="10" l="1"/>
  <c r="D116" i="10" s="1"/>
  <c r="D114" i="8"/>
  <c r="C114" i="8"/>
  <c r="J113" i="8"/>
  <c r="K113" i="8"/>
  <c r="Q113" i="8"/>
  <c r="C114" i="10" l="1"/>
  <c r="D115" i="10" s="1"/>
  <c r="I113" i="8"/>
  <c r="C113" i="8" s="1"/>
  <c r="O113" i="8"/>
  <c r="R113" i="8" s="1"/>
  <c r="P113" i="8"/>
  <c r="N102" i="8"/>
  <c r="D113" i="8" l="1"/>
  <c r="C113" i="10" s="1"/>
  <c r="D114" i="10" s="1"/>
  <c r="O112" i="8"/>
  <c r="K110" i="8"/>
  <c r="I112" i="8" l="1"/>
  <c r="J112" i="8"/>
  <c r="K112" i="8"/>
  <c r="R112" i="8"/>
  <c r="P112" i="8"/>
  <c r="Q112" i="8"/>
  <c r="Q111" i="8"/>
  <c r="C112" i="8" l="1"/>
  <c r="D112" i="8"/>
  <c r="K111" i="8"/>
  <c r="J111" i="8"/>
  <c r="I111" i="8"/>
  <c r="C112" i="10" l="1"/>
  <c r="D113" i="10" s="1"/>
  <c r="O111" i="8"/>
  <c r="R111" i="8" s="1"/>
  <c r="C111" i="8" l="1"/>
  <c r="P111" i="8"/>
  <c r="D111" i="8" l="1"/>
  <c r="C111" i="10" s="1"/>
  <c r="D112" i="10" s="1"/>
  <c r="I110" i="8"/>
  <c r="J110" i="8"/>
  <c r="P110" i="8" l="1"/>
  <c r="O110" i="8" l="1"/>
  <c r="R110" i="8" l="1"/>
  <c r="Q110" i="8"/>
  <c r="D110" i="8" l="1"/>
  <c r="C110" i="8"/>
  <c r="O109" i="8"/>
  <c r="R109" i="8" s="1"/>
  <c r="I109" i="8"/>
  <c r="J109" i="8"/>
  <c r="K109" i="8"/>
  <c r="Q109" i="8"/>
  <c r="P109" i="8"/>
  <c r="C110" i="10" l="1"/>
  <c r="D111" i="10" s="1"/>
  <c r="C109" i="8"/>
  <c r="D109" i="8"/>
  <c r="C109" i="10" l="1"/>
  <c r="D110" i="10" s="1"/>
  <c r="P108" i="8"/>
  <c r="O108" i="8"/>
  <c r="I108" i="8" l="1"/>
  <c r="J108" i="8"/>
  <c r="K108" i="8"/>
  <c r="R108" i="8"/>
  <c r="Q108" i="8"/>
  <c r="O107" i="8"/>
  <c r="D108" i="8" l="1"/>
  <c r="C108" i="8"/>
  <c r="I107" i="8"/>
  <c r="J107" i="8"/>
  <c r="K107" i="8"/>
  <c r="R107" i="8"/>
  <c r="P107" i="8"/>
  <c r="Q107" i="8"/>
  <c r="Q106" i="8"/>
  <c r="P106" i="8"/>
  <c r="K106" i="8"/>
  <c r="J106" i="8"/>
  <c r="I106" i="8"/>
  <c r="C108" i="10" l="1"/>
  <c r="D109" i="10" s="1"/>
  <c r="C107" i="8"/>
  <c r="D107" i="8"/>
  <c r="C106" i="8"/>
  <c r="C107" i="10" l="1"/>
  <c r="D108" i="10" s="1"/>
  <c r="O106" i="8"/>
  <c r="R106" i="8" s="1"/>
  <c r="D106" i="8" s="1"/>
  <c r="O105" i="8"/>
  <c r="C106" i="10" l="1"/>
  <c r="D107" i="10" s="1"/>
  <c r="O104" i="8"/>
  <c r="Q105" i="8" l="1"/>
  <c r="I105" i="8"/>
  <c r="J105" i="8"/>
  <c r="K105" i="8"/>
  <c r="R105" i="8"/>
  <c r="P105" i="8"/>
  <c r="P104" i="8"/>
  <c r="Q104" i="8"/>
  <c r="D105" i="8" l="1"/>
  <c r="C105" i="8"/>
  <c r="I104" i="8"/>
  <c r="J104" i="8"/>
  <c r="K104" i="8"/>
  <c r="C105" i="10" l="1"/>
  <c r="D106" i="10" s="1"/>
  <c r="C104" i="8"/>
  <c r="R104" i="8"/>
  <c r="D104" i="8" s="1"/>
  <c r="C104" i="10" s="1"/>
  <c r="D105" i="10" l="1"/>
  <c r="K103" i="8"/>
  <c r="I103" i="8"/>
  <c r="O102" i="8" l="1"/>
  <c r="O103" i="8"/>
  <c r="G3" i="3" l="1"/>
  <c r="J103" i="8"/>
  <c r="R103" i="8"/>
  <c r="P103" i="8"/>
  <c r="Q103" i="8"/>
  <c r="C103" i="8" l="1"/>
  <c r="D103" i="8"/>
  <c r="C103" i="10" l="1"/>
  <c r="D104" i="10" s="1"/>
  <c r="Q102" i="8"/>
  <c r="I102" i="8"/>
  <c r="J102" i="8"/>
  <c r="K102" i="8"/>
  <c r="R102" i="8"/>
  <c r="P102" i="8"/>
  <c r="C102" i="8" l="1"/>
  <c r="D102" i="8"/>
  <c r="C102" i="10" l="1"/>
  <c r="N101" i="8"/>
  <c r="Q101" i="8" s="1"/>
  <c r="K101" i="8"/>
  <c r="I101" i="8"/>
  <c r="J101" i="8"/>
  <c r="O101" i="8"/>
  <c r="R101" i="8" s="1"/>
  <c r="P101" i="8"/>
  <c r="D103" i="10" l="1"/>
  <c r="C101" i="8"/>
  <c r="D101" i="8"/>
  <c r="C101" i="10" l="1"/>
  <c r="D102" i="10" s="1"/>
  <c r="N100" i="8"/>
  <c r="Q100" i="8" s="1"/>
  <c r="I100" i="8"/>
  <c r="J100" i="8"/>
  <c r="K100" i="8"/>
  <c r="O100" i="8"/>
  <c r="R100" i="8" s="1"/>
  <c r="P100" i="8"/>
  <c r="D100" i="8" l="1"/>
  <c r="C100" i="8"/>
  <c r="C100" i="10" l="1"/>
  <c r="D101" i="10" s="1"/>
  <c r="N99" i="8"/>
  <c r="Q99" i="8" s="1"/>
  <c r="I99" i="8"/>
  <c r="J99" i="8"/>
  <c r="K99" i="8"/>
  <c r="O99" i="8"/>
  <c r="R99" i="8" s="1"/>
  <c r="P99" i="8"/>
  <c r="C99" i="8" l="1"/>
  <c r="D99" i="8"/>
  <c r="C99" i="10" l="1"/>
  <c r="D100" i="10" s="1"/>
  <c r="N98" i="8"/>
  <c r="Q98" i="8" s="1"/>
  <c r="P98" i="8"/>
  <c r="I98" i="8" l="1"/>
  <c r="J98" i="8"/>
  <c r="K98" i="8"/>
  <c r="C98" i="8" l="1"/>
  <c r="O98" i="8"/>
  <c r="R98" i="8" s="1"/>
  <c r="D98" i="8" s="1"/>
  <c r="N97" i="8"/>
  <c r="Q97" i="8" s="1"/>
  <c r="I97" i="8"/>
  <c r="J97" i="8"/>
  <c r="K97" i="8"/>
  <c r="O97" i="8"/>
  <c r="R97" i="8" s="1"/>
  <c r="P97" i="8"/>
  <c r="C98" i="10" l="1"/>
  <c r="D99" i="10" s="1"/>
  <c r="C97" i="8"/>
  <c r="D97" i="8"/>
  <c r="C97" i="10" l="1"/>
  <c r="D98" i="10" s="1"/>
  <c r="N96" i="8"/>
  <c r="Q96" i="8" s="1"/>
  <c r="I96" i="8"/>
  <c r="J96" i="8"/>
  <c r="K96" i="8"/>
  <c r="O96" i="8"/>
  <c r="R96" i="8" s="1"/>
  <c r="P96" i="8"/>
  <c r="C96" i="8" l="1"/>
  <c r="D96" i="8"/>
  <c r="C96" i="10" l="1"/>
  <c r="D97" i="10" s="1"/>
  <c r="P95" i="8"/>
  <c r="I95" i="8"/>
  <c r="J95" i="8"/>
  <c r="K95" i="8"/>
  <c r="N95" i="8"/>
  <c r="Q95" i="8" s="1"/>
  <c r="O95" i="8" l="1"/>
  <c r="R95" i="8" s="1"/>
  <c r="P94" i="8"/>
  <c r="I94" i="8"/>
  <c r="J94" i="8"/>
  <c r="K94" i="8"/>
  <c r="O94" i="8"/>
  <c r="R94" i="8" s="1"/>
  <c r="D95" i="8" l="1"/>
  <c r="C95" i="8"/>
  <c r="N94" i="8"/>
  <c r="Q94" i="8" s="1"/>
  <c r="C95" i="10" l="1"/>
  <c r="D96" i="10" s="1"/>
  <c r="C94" i="8"/>
  <c r="D94" i="8"/>
  <c r="I93" i="8"/>
  <c r="J93" i="8"/>
  <c r="K93" i="8"/>
  <c r="C94" i="10" l="1"/>
  <c r="D95" i="10" s="1"/>
  <c r="N93" i="8"/>
  <c r="Q93" i="8" s="1"/>
  <c r="O93" i="8"/>
  <c r="R93" i="8" s="1"/>
  <c r="P93" i="8"/>
  <c r="C93" i="8" l="1"/>
  <c r="D93" i="8"/>
  <c r="C93" i="10" l="1"/>
  <c r="D94" i="10" s="1"/>
  <c r="P92" i="8"/>
  <c r="K92" i="8"/>
  <c r="J92" i="8"/>
  <c r="I92" i="8"/>
  <c r="N92" i="8" l="1"/>
  <c r="Q92" i="8" s="1"/>
  <c r="O92" i="8" l="1"/>
  <c r="R92" i="8" s="1"/>
  <c r="C92" i="8" l="1"/>
  <c r="D92" i="8"/>
  <c r="C92" i="10" l="1"/>
  <c r="D93" i="10" s="1"/>
  <c r="N91" i="8" l="1"/>
  <c r="N90" i="8"/>
  <c r="P91" i="8" l="1"/>
  <c r="Q91" i="8"/>
  <c r="I91" i="8"/>
  <c r="J91" i="8"/>
  <c r="K91" i="8"/>
  <c r="O91" i="8"/>
  <c r="R91" i="8" s="1"/>
  <c r="C91" i="8" l="1"/>
  <c r="D91" i="8"/>
  <c r="F153" i="1"/>
  <c r="N153" i="1" s="1"/>
  <c r="Q153" i="1" s="1"/>
  <c r="G153" i="1"/>
  <c r="I153" i="1" s="1"/>
  <c r="L153" i="1"/>
  <c r="O153" i="1" s="1"/>
  <c r="M153" i="1"/>
  <c r="P153" i="1" s="1"/>
  <c r="P90" i="8"/>
  <c r="Q90" i="8"/>
  <c r="C91" i="10" l="1"/>
  <c r="D92" i="10" s="1"/>
  <c r="D153" i="1"/>
  <c r="J153" i="1"/>
  <c r="H153" i="1"/>
  <c r="C153" i="1" l="1"/>
  <c r="K90" i="8"/>
  <c r="I90" i="8"/>
  <c r="J90" i="8"/>
  <c r="O90" i="8"/>
  <c r="R90" i="8" s="1"/>
  <c r="D90" i="8" s="1"/>
  <c r="C90" i="8" l="1"/>
  <c r="F152" i="1"/>
  <c r="H152" i="1" s="1"/>
  <c r="G152" i="1"/>
  <c r="I152" i="1" s="1"/>
  <c r="L152" i="1"/>
  <c r="O152" i="1" s="1"/>
  <c r="C90" i="10" l="1"/>
  <c r="D91"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89" i="10"/>
  <c r="D90" i="10" s="1"/>
  <c r="N151" i="1"/>
  <c r="Q151" i="1" s="1"/>
  <c r="J151" i="1"/>
  <c r="C151" i="1" s="1"/>
  <c r="D151" i="1" l="1"/>
  <c r="O88" i="8"/>
  <c r="R88" i="8" s="1"/>
  <c r="D88" i="8" s="1"/>
  <c r="F150" i="1"/>
  <c r="H150" i="1" s="1"/>
  <c r="G150" i="1"/>
  <c r="I150" i="1" s="1"/>
  <c r="L150" i="1"/>
  <c r="O150" i="1" s="1"/>
  <c r="N87" i="8"/>
  <c r="Q87" i="8" s="1"/>
  <c r="C88" i="10" l="1"/>
  <c r="D89" i="10" s="1"/>
  <c r="M150" i="1"/>
  <c r="P150" i="1" s="1"/>
  <c r="J150" i="1"/>
  <c r="C150" i="1" s="1"/>
  <c r="N150" i="1"/>
  <c r="Q150" i="1" s="1"/>
  <c r="D150" i="1" l="1"/>
  <c r="P87" i="8"/>
  <c r="K87" i="8"/>
  <c r="I87" i="8"/>
  <c r="O87" i="8"/>
  <c r="R87" i="8" s="1"/>
  <c r="C87" i="8" l="1"/>
  <c r="D87" i="8"/>
  <c r="F149" i="1"/>
  <c r="H149" i="1" s="1"/>
  <c r="G149" i="1"/>
  <c r="I149" i="1" s="1"/>
  <c r="L149" i="1"/>
  <c r="O149" i="1" s="1"/>
  <c r="C87" i="10" l="1"/>
  <c r="D88"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6" i="10" l="1"/>
  <c r="D87" i="10" s="1"/>
  <c r="C148" i="1"/>
  <c r="D148" i="1"/>
  <c r="I85" i="8" l="1"/>
  <c r="K85" i="8"/>
  <c r="Q85" i="8"/>
  <c r="O85" i="8"/>
  <c r="R85" i="8" s="1"/>
  <c r="P85" i="8"/>
  <c r="C85" i="8" l="1"/>
  <c r="D85" i="8"/>
  <c r="H147" i="1"/>
  <c r="I147" i="1"/>
  <c r="J147" i="1"/>
  <c r="N147" i="1"/>
  <c r="Q147" i="1" s="1"/>
  <c r="O147" i="1"/>
  <c r="K84" i="8"/>
  <c r="N84" i="8"/>
  <c r="Q84" i="8" s="1"/>
  <c r="C85" i="10" l="1"/>
  <c r="M147" i="1"/>
  <c r="P147" i="1" s="1"/>
  <c r="D147" i="1" s="1"/>
  <c r="C147" i="1"/>
  <c r="D86" i="10" l="1"/>
  <c r="P84" i="8"/>
  <c r="I84" i="8"/>
  <c r="O84" i="8"/>
  <c r="R84" i="8" s="1"/>
  <c r="C38" i="3"/>
  <c r="C37" i="3" l="1"/>
  <c r="C36" i="3" s="1"/>
  <c r="C35" i="3" s="1"/>
  <c r="D38" i="3"/>
  <c r="E38" i="3"/>
  <c r="C84" i="8"/>
  <c r="D84" i="8"/>
  <c r="D32" i="10"/>
  <c r="D40" i="10"/>
  <c r="D48" i="10"/>
  <c r="C84" i="10" l="1"/>
  <c r="D24" i="10"/>
  <c r="D16" i="10"/>
  <c r="D37" i="3"/>
  <c r="D39" i="10"/>
  <c r="D31" i="10"/>
  <c r="D23" i="10"/>
  <c r="D15" i="10"/>
  <c r="D45" i="10"/>
  <c r="D37" i="10"/>
  <c r="D29" i="10"/>
  <c r="D21" i="10"/>
  <c r="D13" i="10"/>
  <c r="D30" i="10"/>
  <c r="D22" i="10"/>
  <c r="D14" i="10"/>
  <c r="D46" i="10"/>
  <c r="D50" i="10"/>
  <c r="D42" i="10"/>
  <c r="D34" i="10"/>
  <c r="D26" i="10"/>
  <c r="D18" i="10"/>
  <c r="D44" i="10"/>
  <c r="D36" i="10"/>
  <c r="D28" i="10"/>
  <c r="D20" i="10"/>
  <c r="D12" i="10"/>
  <c r="D49" i="10"/>
  <c r="D33" i="10"/>
  <c r="D25" i="10"/>
  <c r="D17" i="10"/>
  <c r="D36" i="3"/>
  <c r="C34" i="3"/>
  <c r="C33" i="3" s="1"/>
  <c r="D41" i="10"/>
  <c r="D47" i="10"/>
  <c r="D38" i="10"/>
  <c r="D10" i="10"/>
  <c r="D43" i="10"/>
  <c r="D35" i="10"/>
  <c r="D27" i="10"/>
  <c r="D19" i="10"/>
  <c r="D11" i="10"/>
  <c r="N82" i="8"/>
  <c r="N83" i="8"/>
  <c r="N81" i="8"/>
  <c r="D85" i="10" l="1"/>
  <c r="E37"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2" i="10" l="1"/>
  <c r="D34" i="3"/>
  <c r="C83" i="10"/>
  <c r="H144" i="1"/>
  <c r="I144" i="1"/>
  <c r="J144" i="1"/>
  <c r="N144" i="1"/>
  <c r="Q144" i="1" s="1"/>
  <c r="O144" i="1"/>
  <c r="M144" i="1"/>
  <c r="P144" i="1" s="1"/>
  <c r="D83" i="10" l="1"/>
  <c r="D35" i="3"/>
  <c r="D84"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1" i="10"/>
  <c r="C143" i="1"/>
  <c r="C80" i="8"/>
  <c r="D80" i="8"/>
  <c r="C80" i="10" l="1"/>
  <c r="D81" i="10" s="1"/>
  <c r="E33" i="3" s="1"/>
  <c r="D33" i="3"/>
  <c r="D82"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79" i="10" l="1"/>
  <c r="D80" i="10" s="1"/>
  <c r="K78" i="8"/>
  <c r="K77" i="8"/>
  <c r="K76" i="8"/>
  <c r="P78" i="8" l="1"/>
  <c r="I78" i="8"/>
  <c r="O78" i="8"/>
  <c r="R78" i="8" s="1"/>
  <c r="C78" i="8" l="1"/>
  <c r="D78" i="8"/>
  <c r="P77" i="8"/>
  <c r="O77" i="8"/>
  <c r="C78" i="10" l="1"/>
  <c r="H140" i="1"/>
  <c r="I140" i="1"/>
  <c r="J140" i="1"/>
  <c r="N140" i="1"/>
  <c r="Q140" i="1" s="1"/>
  <c r="O140" i="1"/>
  <c r="N77" i="8"/>
  <c r="Q77" i="8" s="1"/>
  <c r="I77" i="8"/>
  <c r="R77" i="8"/>
  <c r="D79" i="10" l="1"/>
  <c r="M140" i="1"/>
  <c r="P140" i="1" s="1"/>
  <c r="D140" i="1" s="1"/>
  <c r="D77" i="8"/>
  <c r="C77" i="8"/>
  <c r="C140" i="1"/>
  <c r="C77" i="10" l="1"/>
  <c r="D78"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6" i="10" l="1"/>
  <c r="D77" i="10" s="1"/>
  <c r="H138" i="1"/>
  <c r="I138" i="1"/>
  <c r="J138" i="1"/>
  <c r="P138" i="1"/>
  <c r="N138" i="1"/>
  <c r="Q138" i="1" s="1"/>
  <c r="O138" i="1"/>
  <c r="I75" i="8"/>
  <c r="K75" i="8"/>
  <c r="Q75" i="8"/>
  <c r="O75" i="8"/>
  <c r="R75" i="8" s="1"/>
  <c r="P75" i="8"/>
  <c r="C138" i="1" l="1"/>
  <c r="D138" i="1"/>
  <c r="C75" i="8"/>
  <c r="D75" i="8"/>
  <c r="C75" i="10" l="1"/>
  <c r="D76" i="10" s="1"/>
  <c r="H137" i="1"/>
  <c r="I137" i="1"/>
  <c r="J137" i="1"/>
  <c r="N137" i="1"/>
  <c r="Q137" i="1" s="1"/>
  <c r="O137" i="1"/>
  <c r="H136" i="1"/>
  <c r="N74" i="8"/>
  <c r="M137" i="1" s="1"/>
  <c r="P137" i="1" s="1"/>
  <c r="C137" i="1" l="1"/>
  <c r="D137" i="1"/>
  <c r="I74" i="8"/>
  <c r="K74" i="8"/>
  <c r="O74" i="8"/>
  <c r="R74" i="8" s="1"/>
  <c r="P74" i="8"/>
  <c r="Q74" i="8"/>
  <c r="D74" i="8" l="1"/>
  <c r="C74" i="8"/>
  <c r="C74" i="10" l="1"/>
  <c r="D75" i="10" s="1"/>
  <c r="N73" i="8"/>
  <c r="M136" i="1" s="1"/>
  <c r="I136" i="1" l="1"/>
  <c r="J136" i="1"/>
  <c r="P136" i="1"/>
  <c r="N136" i="1"/>
  <c r="Q136" i="1" s="1"/>
  <c r="O136" i="1"/>
  <c r="D136" i="1" l="1"/>
  <c r="C136" i="1"/>
  <c r="P73" i="8"/>
  <c r="O73" i="8"/>
  <c r="R73" i="8" s="1"/>
  <c r="Q73" i="8"/>
  <c r="K73" i="8"/>
  <c r="I73" i="8"/>
  <c r="C73" i="8" l="1"/>
  <c r="D73" i="8"/>
  <c r="B10" i="3"/>
  <c r="C73" i="10" l="1"/>
  <c r="B11" i="3"/>
  <c r="G9" i="3"/>
  <c r="B12" i="3"/>
  <c r="D74"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2"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3" i="10" l="1"/>
  <c r="C12" i="3"/>
  <c r="Q70" i="8"/>
  <c r="C6" i="3"/>
  <c r="Q71" i="8"/>
  <c r="D11" i="3" s="1"/>
  <c r="M134" i="1"/>
  <c r="P134" i="1" s="1"/>
  <c r="D134" i="1" s="1"/>
  <c r="E6" i="3"/>
  <c r="O71" i="8"/>
  <c r="R71" i="8" s="1"/>
  <c r="E11" i="3" s="1"/>
  <c r="D5" i="3"/>
  <c r="D6" i="3" l="1"/>
  <c r="C71" i="8"/>
  <c r="D71" i="8"/>
  <c r="F11" i="3" l="1"/>
  <c r="G11" i="3" s="1"/>
  <c r="F5" i="3"/>
  <c r="G5" i="3" s="1"/>
  <c r="C71"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71"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2"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0" i="10" l="1"/>
  <c r="D71" i="10" s="1"/>
  <c r="C69" i="8"/>
  <c r="C69" i="10" l="1"/>
  <c r="D70" i="10" s="1"/>
  <c r="C68" i="8"/>
  <c r="C68" i="10" l="1"/>
  <c r="D69" i="10" s="1"/>
  <c r="C67" i="8"/>
  <c r="C67" i="10" l="1"/>
  <c r="D68" i="10" s="1"/>
  <c r="C66" i="8"/>
  <c r="C66" i="10" l="1"/>
  <c r="D67" i="10" s="1"/>
  <c r="C65" i="8"/>
  <c r="C65" i="10" l="1"/>
  <c r="D66" i="10" s="1"/>
  <c r="C64" i="8"/>
  <c r="C64" i="10" l="1"/>
  <c r="D65" i="10" s="1"/>
  <c r="C63" i="8"/>
  <c r="C63" i="10" l="1"/>
  <c r="D64" i="10" s="1"/>
  <c r="C62" i="8"/>
  <c r="C62" i="10" l="1"/>
  <c r="D63" i="10" s="1"/>
  <c r="C61" i="8"/>
  <c r="C61" i="10" l="1"/>
  <c r="D62" i="10" s="1"/>
  <c r="C60" i="8"/>
  <c r="F6" i="3" l="1"/>
  <c r="G6" i="3" s="1"/>
  <c r="C60" i="10"/>
  <c r="C59" i="8"/>
  <c r="C59" i="10" l="1"/>
  <c r="D60" i="10" s="1"/>
  <c r="D61" i="10"/>
  <c r="C58" i="8"/>
  <c r="C58" i="10" l="1"/>
  <c r="D59" i="10" s="1"/>
  <c r="C57" i="8"/>
  <c r="C57" i="10" l="1"/>
  <c r="D58" i="10" s="1"/>
  <c r="C56" i="8"/>
  <c r="C56" i="10" l="1"/>
  <c r="D57" i="10" s="1"/>
  <c r="C55" i="8"/>
  <c r="C55" i="10" l="1"/>
  <c r="D56" i="10" s="1"/>
  <c r="C54" i="8"/>
  <c r="C54" i="10" l="1"/>
  <c r="D55" i="10" s="1"/>
  <c r="C53" i="8"/>
  <c r="C53" i="10" l="1"/>
  <c r="D54" i="10" s="1"/>
  <c r="C52" i="8"/>
  <c r="C52" i="10" l="1"/>
  <c r="D53" i="10" s="1"/>
  <c r="C51" i="8"/>
  <c r="C51" i="10" l="1"/>
  <c r="D51" i="10" s="1"/>
  <c r="C50" i="8"/>
  <c r="D52"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<sst xmlns="http://schemas.openxmlformats.org/spreadsheetml/2006/main" count="164" uniqueCount="70">
  <si>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</si>
  <si>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</si>
  <si>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</si>
  <si>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</si>
  <si>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</si>
  <si>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</si>
  <si>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</si>
  <si>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</si>
  <si>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</si>
  <si>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</si>
  <si>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</si>
  <si>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</si>
  <si>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</si>
  <si>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</si>
  <si>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</si>
  <si>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</si>
  <si>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</si>
  <si>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</si>
  <si>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</si>
  <si>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</si>
  <si>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</si>
  <si>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</si>
  <si>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</si>
  <si>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</si>
  <si>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</si>
  <si>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</si>
  <si>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</si>
  <si>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</si>
  <si>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</si>
  <si>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</si>
  <si>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</si>
  <si>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</si>
  <si>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</si>
  <si>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</si>
  <si>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</si>
  <si>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</si>
  <si>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</si>
  <si>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</si>
  <si>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</si>
  <si>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</si>
  <si>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</si>
  <si>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</si>
  <si>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</si>
  <si>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</si>
  <si>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</si>
  <si>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</si>
  <si>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</si>
  <si>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</si>
  <si>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</si>
  <si>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</si>
  <si>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</si>
  <si>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</si>
  <si>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</si>
  <si>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</si>
  <si>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</si>
  <si>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</si>
  <si>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</si>
  <si>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</si>
  <si>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</si>
  <si>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</si>
  <si>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</si>
  <si>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t>©Agriculture and Horticulture Development Board 2026. All rights reserved.</t>
  </si>
  <si>
    <t>From Jan-26 processing costs and yields were being updated annually based on changes in the cost of labour, energy and general inflation. However, due to the outbreak of war in the Middle East quarterly updates will be reinstated from April 2026.</t>
  </si>
  <si>
    <t>* Update</t>
  </si>
  <si>
    <t>Month</t>
  </si>
  <si>
    <t>Milk Market Value (ppl)</t>
  </si>
  <si>
    <t>Month-on-month change (ppl)</t>
  </si>
  <si>
    <r>
      <rPr>
        <b/>
        <sz val="12"/>
        <color rgb="FF575756"/>
        <rFont val="Arial"/>
        <family val="2"/>
      </rPr>
      <t xml:space="preserve">Last updated: </t>
    </r>
    <r>
      <rPr>
        <sz val="12"/>
        <color rgb="FF575756"/>
        <rFont val="Arial"/>
        <family val="2"/>
      </rPr>
      <t>25/06/2026</t>
    </r>
  </si>
  <si>
    <t xml:space="preserve">Source: AHDB  </t>
  </si>
  <si>
    <t>Source: AHDB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</si>
</sst>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5">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3" fontId="1" fillId="7" borderId="1" xfId="5" applyNumberFormat="1" applyFont="1" applyAlignment="1">
      <alignment horizontal="right" vertical="center"/>
    </xf>
    <xf numFmtId="4" fontId="1" fillId="3" borderId="0" xfId="13" applyFont="1" applyFill="1">
      <alignment horizontal="left" vertical="top"/>
    </xf>
    <xf numFmtId="4" fontId="13" fillId="0" borderId="0" xfId="0" applyFont="1" applyAlignment="1">
      <alignment vertical="center"/>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3" fillId="0" borderId="0" xfId="0" applyFo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0090D3"/>
      <color rgb="FF61BAE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'AMPE-MCVE'!$B$9:$B$143</c:f>
              <c:numCache>
                <c:formatCode>mmm\-yy</c:formatCode>
                <c:ptCount val="135"/>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pt idx="134">
                  <c:v>46174</c:v>
                </c:pt>
              </c:numCache>
            </c:numRef>
          </c:cat>
          <c:val>
            <c:numRef>
              <c:f>'AMPE-MCVE'!$C$9:$C$143</c:f>
              <c:numCache>
                <c:formatCode>#,##0.0</c:formatCode>
                <c:ptCount val="135"/>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35.873269816114259</c:v>
                </c:pt>
                <c:pt idx="127">
                  <c:v>33.615371738043102</c:v>
                </c:pt>
                <c:pt idx="128">
                  <c:v>29.879880446646958</c:v>
                </c:pt>
                <c:pt idx="129">
                  <c:v>30.090977295703325</c:v>
                </c:pt>
                <c:pt idx="130">
                  <c:v>32.75156940078049</c:v>
                </c:pt>
                <c:pt idx="131">
                  <c:v>37.349283647301547</c:v>
                </c:pt>
                <c:pt idx="132">
                  <c:v>35.252341902699428</c:v>
                </c:pt>
                <c:pt idx="133">
                  <c:v>35.535500942034204</c:v>
                </c:pt>
                <c:pt idx="134">
                  <c:v>32.928994832888762</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'AMPE-MCVE'!$B$9:$B$143</c:f>
              <c:numCache>
                <c:formatCode>mmm\-yy</c:formatCode>
                <c:ptCount val="135"/>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pt idx="134">
                  <c:v>46174</c:v>
                </c:pt>
              </c:numCache>
            </c:numRef>
          </c:cat>
          <c:val>
            <c:numRef>
              <c:f>'AMPE-MCVE'!$D$9:$D$143</c:f>
              <c:numCache>
                <c:formatCode>#,##0.0</c:formatCode>
                <c:ptCount val="135"/>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43.255628651225621</c:v>
                </c:pt>
                <c:pt idx="125">
                  <c:v>38.489015676080392</c:v>
                </c:pt>
                <c:pt idx="126">
                  <c:v>34.694595477710436</c:v>
                </c:pt>
                <c:pt idx="127">
                  <c:v>33.028987436888812</c:v>
                </c:pt>
                <c:pt idx="128">
                  <c:v>31.495034571971114</c:v>
                </c:pt>
                <c:pt idx="129">
                  <c:v>31.782697592174475</c:v>
                </c:pt>
                <c:pt idx="130">
                  <c:v>32.707922571242321</c:v>
                </c:pt>
                <c:pt idx="131">
                  <c:v>34.886360489944224</c:v>
                </c:pt>
                <c:pt idx="132">
                  <c:v>34.823656509475249</c:v>
                </c:pt>
                <c:pt idx="133">
                  <c:v>34.523148459854973</c:v>
                </c:pt>
                <c:pt idx="134">
                  <c:v>33.768592448259575</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174"/>
          <c:min val="45078"/>
        </c:scaling>
        <c:delete val="0"/>
        <c:axPos val="b"/>
        <c:title>
          <c:tx>
            <c:rich>
              <a:bodyPr/>
              <a:lstStyle/>
              <a:p>
                <a:pPr>
                  <a:defRPr/>
                </a:pPr>
                <a:r>
                  <a:rPr lang="en-GB"/>
                  <a:t>*Actual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MMV!$B$9:$B$202</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pt idx="134">
                  <c:v>46174</c:v>
                </c:pt>
              </c:numCache>
            </c:numRef>
          </c:cat>
          <c:val>
            <c:numRef>
              <c:f>MMV!$C$9:$C$202</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43.555212437363679</c:v>
                </c:pt>
                <c:pt idx="125">
                  <c:v>39.044986832612913</c:v>
                </c:pt>
                <c:pt idx="126">
                  <c:v>34.930330345391198</c:v>
                </c:pt>
                <c:pt idx="127">
                  <c:v>33.146264297119671</c:v>
                </c:pt>
                <c:pt idx="128">
                  <c:v>31.172003746906285</c:v>
                </c:pt>
                <c:pt idx="129">
                  <c:v>31.44435353288025</c:v>
                </c:pt>
                <c:pt idx="130">
                  <c:v>32.716651937149955</c:v>
                </c:pt>
                <c:pt idx="131">
                  <c:v>35.37894512141569</c:v>
                </c:pt>
                <c:pt idx="132">
                  <c:v>34.909393588120082</c:v>
                </c:pt>
                <c:pt idx="133">
                  <c:v>34.725618956290823</c:v>
                </c:pt>
                <c:pt idx="134">
                  <c:v>33.600672925185414</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174"/>
          <c:min val="4507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xdr:col>
      <xdr:colOff>8431</xdr:colOff>
      <xdr:row>1</xdr:row>
      <xdr:rowOff>29242</xdr:rowOff>
    </xdr:to>
    <xdr:pic>
      <xdr:nvPicPr>
        <xdr:cNvPr id="8" name="Picture 7">
          <a:extLst>
            <a:ext uri="{FF2B5EF4-FFF2-40B4-BE49-F238E27FC236}">
              <a16:creationId xmlns:a16="http://schemas.microsoft.com/office/drawing/2014/main" id="{9374F977-4C6A-472D-C1BC-11DFC3743B3E}"/>
            </a:ext>
          </a:extLst>
        </xdr:cNvPr>
        <xdr:cNvPicPr>
          <a:picLocks noChangeAspect="1"/>
        </xdr:cNvPicPr>
      </xdr:nvPicPr>
      <xdr:blipFill>
        <a:blip xmlns:r="http://schemas.openxmlformats.org/officeDocument/2006/relationships" r:embed="rId1"/>
        <a:stretch>
          <a:fillRect/>
        </a:stretch>
      </xdr:blipFill>
      <xdr:spPr>
        <a:xfrm>
          <a:off x="0" y="0"/>
          <a:ext cx="560881" cy="365792"/>
        </a:xfrm>
        <a:prstGeom prst="rect">
          <a:avLst/>
        </a:prstGeom>
      </xdr:spPr>
    </xdr:pic>
    <xdr:clientData/>
  </xdr:twoCellAnchor>
  <xdr:twoCellAnchor editAs="oneCell">
    <xdr:from>
      <xdr:col>1</xdr:col>
      <xdr:colOff>0</xdr:colOff>
      <xdr:row>0</xdr:row>
      <xdr:rowOff>0</xdr:rowOff>
    </xdr:from>
    <xdr:to>
      <xdr:col>18</xdr:col>
      <xdr:colOff>9525</xdr:colOff>
      <xdr:row>1</xdr:row>
      <xdr:rowOff>16795</xdr:rowOff>
    </xdr:to>
    <xdr:pic>
      <xdr:nvPicPr>
        <xdr:cNvPr id="9" name="Picture 8">
          <a:extLst>
            <a:ext uri="{FF2B5EF4-FFF2-40B4-BE49-F238E27FC236}">
              <a16:creationId xmlns:a16="http://schemas.microsoft.com/office/drawing/2014/main" id="{B93ABB64-DD0F-ABC7-DC6F-6A5328093A2C}"/>
            </a:ext>
          </a:extLst>
        </xdr:cNvPr>
        <xdr:cNvPicPr>
          <a:picLocks noChangeAspect="1"/>
        </xdr:cNvPicPr>
      </xdr:nvPicPr>
      <xdr:blipFill>
        <a:blip xmlns:r="http://schemas.openxmlformats.org/officeDocument/2006/relationships" r:embed="rId2"/>
        <a:stretch>
          <a:fillRect/>
        </a:stretch>
      </xdr:blipFill>
      <xdr:spPr>
        <a:xfrm>
          <a:off x="552450" y="0"/>
          <a:ext cx="11991975" cy="35969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2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0.83127</cdr:x>
      <cdr:y>0.03139</cdr:y>
    </cdr:from>
    <cdr:to>
      <cdr:x>0.97532</cdr:x>
      <cdr:y>0.12886</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99606" y="136409"/>
          <a:ext cx="901040" cy="42355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11606</xdr:colOff>
      <xdr:row>1</xdr:row>
      <xdr:rowOff>26067</xdr:rowOff>
    </xdr:to>
    <xdr:pic>
      <xdr:nvPicPr>
        <xdr:cNvPr id="5" name="Picture 4">
          <a:extLst>
            <a:ext uri="{FF2B5EF4-FFF2-40B4-BE49-F238E27FC236}">
              <a16:creationId xmlns:a16="http://schemas.microsoft.com/office/drawing/2014/main" id="{7199A7AC-7C37-DAF9-11B3-3C378430888E}"/>
            </a:ext>
          </a:extLst>
        </xdr:cNvPr>
        <xdr:cNvPicPr>
          <a:picLocks noChangeAspect="1"/>
        </xdr:cNvPicPr>
      </xdr:nvPicPr>
      <xdr:blipFill>
        <a:blip xmlns:r="http://schemas.openxmlformats.org/officeDocument/2006/relationships" r:embed="rId1"/>
        <a:stretch>
          <a:fillRect/>
        </a:stretch>
      </xdr:blipFill>
      <xdr:spPr>
        <a:xfrm>
          <a:off x="0" y="0"/>
          <a:ext cx="560881" cy="365792"/>
        </a:xfrm>
        <a:prstGeom prst="rect">
          <a:avLst/>
        </a:prstGeom>
      </xdr:spPr>
    </xdr:pic>
    <xdr:clientData/>
  </xdr:twoCellAnchor>
  <xdr:twoCellAnchor editAs="oneCell">
    <xdr:from>
      <xdr:col>1</xdr:col>
      <xdr:colOff>0</xdr:colOff>
      <xdr:row>0</xdr:row>
      <xdr:rowOff>0</xdr:rowOff>
    </xdr:from>
    <xdr:to>
      <xdr:col>4</xdr:col>
      <xdr:colOff>0</xdr:colOff>
      <xdr:row>1</xdr:row>
      <xdr:rowOff>16795</xdr:rowOff>
    </xdr:to>
    <xdr:pic>
      <xdr:nvPicPr>
        <xdr:cNvPr id="6" name="Picture 5">
          <a:extLst>
            <a:ext uri="{FF2B5EF4-FFF2-40B4-BE49-F238E27FC236}">
              <a16:creationId xmlns:a16="http://schemas.microsoft.com/office/drawing/2014/main" id="{030B1E3A-6F0C-AF41-D7CC-8C4F2A6AD44A}"/>
            </a:ext>
          </a:extLst>
        </xdr:cNvPr>
        <xdr:cNvPicPr>
          <a:picLocks noChangeAspect="1"/>
        </xdr:cNvPicPr>
      </xdr:nvPicPr>
      <xdr:blipFill>
        <a:blip xmlns:r="http://schemas.openxmlformats.org/officeDocument/2006/relationships" r:embed="rId2"/>
        <a:stretch>
          <a:fillRect/>
        </a:stretch>
      </xdr:blipFill>
      <xdr:spPr>
        <a:xfrm>
          <a:off x="552450" y="0"/>
          <a:ext cx="2647950"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xdr:col>
      <xdr:colOff>11606</xdr:colOff>
      <xdr:row>1</xdr:row>
      <xdr:rowOff>26067</xdr:rowOff>
    </xdr:to>
    <xdr:pic>
      <xdr:nvPicPr>
        <xdr:cNvPr id="6" name="Picture 5">
          <a:extLst>
            <a:ext uri="{FF2B5EF4-FFF2-40B4-BE49-F238E27FC236}">
              <a16:creationId xmlns:a16="http://schemas.microsoft.com/office/drawing/2014/main" id="{804402B4-5F7F-4DD6-9616-0703B0A17464}"/>
            </a:ext>
          </a:extLst>
        </xdr:cNvPr>
        <xdr:cNvPicPr>
          <a:picLocks noChangeAspect="1"/>
        </xdr:cNvPicPr>
      </xdr:nvPicPr>
      <xdr:blipFill>
        <a:blip xmlns:r="http://schemas.openxmlformats.org/officeDocument/2006/relationships" r:embed="rId1"/>
        <a:stretch>
          <a:fillRect/>
        </a:stretch>
      </xdr:blipFill>
      <xdr:spPr>
        <a:xfrm>
          <a:off x="0" y="0"/>
          <a:ext cx="564056" cy="368967"/>
        </a:xfrm>
        <a:prstGeom prst="rect">
          <a:avLst/>
        </a:prstGeom>
      </xdr:spPr>
    </xdr:pic>
    <xdr:clientData/>
  </xdr:twoCellAnchor>
  <xdr:twoCellAnchor editAs="oneCell">
    <xdr:from>
      <xdr:col>1</xdr:col>
      <xdr:colOff>0</xdr:colOff>
      <xdr:row>0</xdr:row>
      <xdr:rowOff>0</xdr:rowOff>
    </xdr:from>
    <xdr:to>
      <xdr:col>14</xdr:col>
      <xdr:colOff>38100</xdr:colOff>
      <xdr:row>1</xdr:row>
      <xdr:rowOff>16795</xdr:rowOff>
    </xdr:to>
    <xdr:pic>
      <xdr:nvPicPr>
        <xdr:cNvPr id="7" name="Picture 6">
          <a:extLst>
            <a:ext uri="{FF2B5EF4-FFF2-40B4-BE49-F238E27FC236}">
              <a16:creationId xmlns:a16="http://schemas.microsoft.com/office/drawing/2014/main" id="{E9E1343D-9FFC-44A4-AB59-D68318CF4DCE}"/>
            </a:ext>
          </a:extLst>
        </xdr:cNvPr>
        <xdr:cNvPicPr>
          <a:picLocks noChangeAspect="1"/>
        </xdr:cNvPicPr>
      </xdr:nvPicPr>
      <xdr:blipFill>
        <a:blip xmlns:r="http://schemas.openxmlformats.org/officeDocument/2006/relationships" r:embed="rId2"/>
        <a:stretch>
          <a:fillRect/>
        </a:stretch>
      </xdr:blipFill>
      <xdr:spPr>
        <a:xfrm>
          <a:off x="552450" y="0"/>
          <a:ext cx="940117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7"/>
  <sheetViews>
    <sheetView showGridLines="0" tabSelected="1" zoomScaleNormal="100" zoomScaleSheetLayoutView="143" zoomScalePageLayoutView="123" workbookViewId="0">
      <pane xSplit="2" ySplit="8" topLeftCell="C138" activePane="bottomRight" state="frozen"/>
      <selection activeCell="B107" sqref="B107"/>
      <selection pane="topRight" activeCell="B107" sqref="B107"/>
      <selection pane="bottomLeft" activeCell="B107" sqref="B107"/>
      <selection pane="bottomRight" activeCell="O149" sqref="O149"/>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100" t="s">
        <v>67</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1" t="s">
        <v>25</v>
      </c>
      <c r="G6" s="102"/>
      <c r="H6" s="102"/>
      <c r="I6" s="102"/>
      <c r="J6" s="102"/>
      <c r="K6" s="102"/>
      <c r="L6" s="16"/>
      <c r="M6" s="103" t="s">
        <v>26</v>
      </c>
      <c r="N6" s="104"/>
      <c r="O6" s="104"/>
      <c r="P6" s="104"/>
      <c r="Q6" s="104"/>
      <c r="R6" s="104"/>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44</v>
      </c>
      <c r="D7" s="72" t="s">
        <v>45</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5" t="s">
        <v>1</v>
      </c>
      <c r="D8" s="106"/>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costs'!C89)*100/19900</f>
        <v>20.78391959798995</v>
      </c>
      <c r="J88" s="34">
        <f>((G88-103)-'Processing costs'!E89)*100/203600</f>
        <v>1.0471512770137525</v>
      </c>
      <c r="K88" s="34">
        <f>(G88-'Processing costs'!D89-H88*8.5%)*100/10600</f>
        <v>20.451155729911211</v>
      </c>
      <c r="L88" s="35"/>
      <c r="M88" s="36">
        <v>3440</v>
      </c>
      <c r="N88" s="36">
        <f>1026.5/1.179</f>
        <v>870.65309584393549</v>
      </c>
      <c r="O88" s="36">
        <f t="shared" si="58"/>
        <v>4080</v>
      </c>
      <c r="P88" s="34">
        <f>(M88-'Processing costs'!G89)*100/9100</f>
        <v>34.175824175824175</v>
      </c>
      <c r="Q88" s="34">
        <f>(N88-'Processing costs'!H89)*100/16700</f>
        <v>3.1715754242151828</v>
      </c>
      <c r="R88" s="34">
        <f>(O88-'Processing costs'!I89)*100/205000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52</v>
      </c>
      <c r="B89" s="42">
        <v>44531</v>
      </c>
      <c r="C89" s="37">
        <f t="shared" ref="C89" si="63">I89+J89+K89</f>
        <v>44.703392658750154</v>
      </c>
      <c r="D89" s="37">
        <f t="shared" ref="D89:D90" si="64">P89+Q89+R89</f>
        <v>40.983469729060694</v>
      </c>
      <c r="E89" s="35"/>
      <c r="F89" s="38">
        <v>4660</v>
      </c>
      <c r="G89" s="38">
        <v>2750</v>
      </c>
      <c r="H89" s="38">
        <v>792.51212092696028</v>
      </c>
      <c r="I89" s="37">
        <f>(F89-'Processing costs'!C90)*100/19900</f>
        <v>22.075376884422109</v>
      </c>
      <c r="J89" s="37">
        <f>((G89-103)-'Processing costs'!E90)*100/203600</f>
        <v>1.1031434184675835</v>
      </c>
      <c r="K89" s="37">
        <f>(G89-'Processing costs'!D90-H89*8.5%)*100/10600</f>
        <v>21.52487235586046</v>
      </c>
      <c r="L89" s="35"/>
      <c r="M89" s="38">
        <v>3600</v>
      </c>
      <c r="N89" s="38">
        <f>1099.23/1.1777</f>
        <v>933.37012821601434</v>
      </c>
      <c r="O89" s="38">
        <f t="shared" ref="O89:O91" si="65">F89-300</f>
        <v>4360</v>
      </c>
      <c r="P89" s="37">
        <f>(M89-'Processing costs'!G90)*100/9100</f>
        <v>35.637362637362635</v>
      </c>
      <c r="Q89" s="37">
        <f>(N89-'Processing costs'!H90)*100/16700</f>
        <v>3.3495217258443972</v>
      </c>
      <c r="R89" s="37">
        <f>(O89-'Processing costs'!I90)*100/205000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costs'!C91)*100/19900</f>
        <v>23.08040201005025</v>
      </c>
      <c r="J90" s="34">
        <f>((G90-103)-'Processing costs'!E91)*100/203600</f>
        <v>1.1817288801571708</v>
      </c>
      <c r="K90" s="34">
        <f>(G90-'Processing costs'!D91-H90*8.5%)*100/10600</f>
        <v>23.050840394623535</v>
      </c>
      <c r="L90" s="35"/>
      <c r="M90" s="36">
        <v>3760</v>
      </c>
      <c r="N90" s="36">
        <f>1170.93/1.1941</f>
        <v>980.59626496943315</v>
      </c>
      <c r="O90" s="36">
        <f t="shared" si="65"/>
        <v>4560</v>
      </c>
      <c r="P90" s="34">
        <f>(M90-'Processing costs'!G91)*100/9100</f>
        <v>37.395604395604394</v>
      </c>
      <c r="Q90" s="34">
        <f>(N90-'Processing costs'!H91)*100/16700</f>
        <v>3.6323129638888214</v>
      </c>
      <c r="R90" s="34">
        <f>(O90-'Processing costs'!I91)*100/205000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costs'!C92)*100/19900</f>
        <v>23.4321608040201</v>
      </c>
      <c r="J91" s="37">
        <f>((G91-103)-'Processing costs'!E92)*100/203600</f>
        <v>1.2406679764243616</v>
      </c>
      <c r="K91" s="37">
        <f>(G91-'Processing costs'!D92-H91*8.5%)*100/10600</f>
        <v>24.183703862071322</v>
      </c>
      <c r="L91" s="35"/>
      <c r="M91" s="38">
        <v>3960</v>
      </c>
      <c r="N91" s="38">
        <f>1262.28/1.1939</f>
        <v>1057.2744785995478</v>
      </c>
      <c r="O91" s="38">
        <f t="shared" si="65"/>
        <v>4630</v>
      </c>
      <c r="P91" s="37">
        <f>(M91-'Processing costs'!G92)*100/9100</f>
        <v>39.593406593406591</v>
      </c>
      <c r="Q91" s="37">
        <f>(N91-'Processing costs'!H92)*100/16700</f>
        <v>4.0914639437098677</v>
      </c>
      <c r="R91" s="37">
        <f>(O91-'Processing costs'!I92)*100/205000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costs'!C93)*100/19900</f>
        <v>26.095477386934672</v>
      </c>
      <c r="J92" s="34">
        <f>((G92-103)-'Processing costs'!E93)*100/203600</f>
        <v>1.388015717092338</v>
      </c>
      <c r="K92" s="34">
        <f>(G92-'Processing costs'!D93-H92*8.5%)*100/10600</f>
        <v>26.994945309654831</v>
      </c>
      <c r="L92" s="35"/>
      <c r="M92" s="36">
        <v>4280</v>
      </c>
      <c r="N92" s="36">
        <f>1337.5/1.1971</f>
        <v>1117.283434967839</v>
      </c>
      <c r="O92" s="36">
        <f t="shared" ref="O92:O94" si="68">F92-300</f>
        <v>5160</v>
      </c>
      <c r="P92" s="34">
        <f>(M92-'Processing costs'!G93)*100/9100</f>
        <v>43.109890109890109</v>
      </c>
      <c r="Q92" s="34">
        <f>(N92-'Processing costs'!H93)*100/16700</f>
        <v>4.4507990117834666</v>
      </c>
      <c r="R92" s="34">
        <f>(O92-'Processing costs'!I93)*100/205000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52</v>
      </c>
      <c r="B93" s="42">
        <v>44652</v>
      </c>
      <c r="C93" s="37">
        <f t="shared" ref="C93" si="69">I93+J93+K93</f>
        <v>56.324652520598292</v>
      </c>
      <c r="D93" s="37">
        <f t="shared" ref="D93:D94" si="70">P93+Q93+R93</f>
        <v>51.976834340923993</v>
      </c>
      <c r="E93" s="35"/>
      <c r="F93" s="38">
        <v>5890</v>
      </c>
      <c r="G93" s="38">
        <v>3430</v>
      </c>
      <c r="H93" s="38">
        <v>831.21360678630697</v>
      </c>
      <c r="I93" s="37">
        <f>(F93-'Processing costs'!C94)*100/19900</f>
        <v>28.070351758793969</v>
      </c>
      <c r="J93" s="37">
        <f>((G93-103)-'Processing costs'!E94)*100/203600</f>
        <v>1.3831041257367387</v>
      </c>
      <c r="K93" s="37">
        <f>(G93-'Processing costs'!D94-H93*8.5%)*100/10600</f>
        <v>26.871196636067587</v>
      </c>
      <c r="L93" s="35"/>
      <c r="M93" s="38">
        <v>4520</v>
      </c>
      <c r="N93" s="38">
        <f>1425.6/1.1955</f>
        <v>1192.4717691342535</v>
      </c>
      <c r="O93" s="38">
        <f t="shared" si="68"/>
        <v>5590</v>
      </c>
      <c r="P93" s="37">
        <f>(M93-'Processing costs'!G94)*100/9100</f>
        <v>45.263736263736263</v>
      </c>
      <c r="Q93" s="37">
        <f>(N93-'Processing costs'!H94)*100/16700</f>
        <v>4.1345614918218763</v>
      </c>
      <c r="R93" s="37">
        <f>(O93-'Processing costs'!I94)*100/205000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costs'!C95)*100/19900</f>
        <v>28.070351758793969</v>
      </c>
      <c r="J94" s="34">
        <f>((G94-103)-'Processing costs'!E95)*100/203600</f>
        <v>1.3241650294695482</v>
      </c>
      <c r="K94" s="34">
        <f>(G94-'Processing costs'!D95-H94*8.5%)*100/10600</f>
        <v>25.700497751448268</v>
      </c>
      <c r="L94" s="35"/>
      <c r="M94" s="36">
        <v>4650</v>
      </c>
      <c r="N94" s="36">
        <f>1356.37/1.1806</f>
        <v>1148.8819244451972</v>
      </c>
      <c r="O94" s="36">
        <f t="shared" si="68"/>
        <v>5590</v>
      </c>
      <c r="P94" s="34">
        <f>(M94-'Processing costs'!G95)*100/9100</f>
        <v>46.692307692307693</v>
      </c>
      <c r="Q94" s="34">
        <f>(N94-'Processing costs'!H95)*100/16700</f>
        <v>3.8735444577556719</v>
      </c>
      <c r="R94" s="34">
        <f>(O94-'Processing costs'!I95)*100/205000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costs'!C96)*100/19900</f>
        <v>28.723618090452263</v>
      </c>
      <c r="J95" s="37">
        <f>((G95-103)-'Processing costs'!E96)*100/203600</f>
        <v>1.3585461689587426</v>
      </c>
      <c r="K95" s="37">
        <f>(G95-'Processing costs'!D96-H95*8.5%)*100/10600</f>
        <v>26.352507010104393</v>
      </c>
      <c r="L95" s="35"/>
      <c r="M95" s="38">
        <v>4740</v>
      </c>
      <c r="N95" s="38">
        <f>1323.38/1.1695</f>
        <v>1131.577597263788</v>
      </c>
      <c r="O95" s="38">
        <f t="shared" ref="O95:O96" si="73">F95-300</f>
        <v>5720</v>
      </c>
      <c r="P95" s="37">
        <f>(M95-'Processing costs'!G96)*100/9100</f>
        <v>47.681318681318679</v>
      </c>
      <c r="Q95" s="37">
        <f>(N95-'Processing costs'!H96)*100/16700</f>
        <v>3.7699257321184909</v>
      </c>
      <c r="R95" s="37">
        <f>(O95-'Processing costs'!I96)*100/205000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52</v>
      </c>
      <c r="B96" s="41">
        <v>44743</v>
      </c>
      <c r="C96" s="34">
        <f>I96+J96+K96</f>
        <v>54.745897958893764</v>
      </c>
      <c r="D96" s="34">
        <f t="shared" si="72"/>
        <v>53.00591183379251</v>
      </c>
      <c r="E96" s="35"/>
      <c r="F96" s="36">
        <v>5940</v>
      </c>
      <c r="G96" s="36">
        <v>3290</v>
      </c>
      <c r="H96" s="36">
        <v>940.28613931129553</v>
      </c>
      <c r="I96" s="34">
        <f>(F96-'Processing costs'!C97)*100/19900</f>
        <v>28.266331658291456</v>
      </c>
      <c r="J96" s="34">
        <f>((G96-103)-'Processing costs'!E97)*100/203600</f>
        <v>1.2996070726915521</v>
      </c>
      <c r="K96" s="34">
        <f>(G96-'Processing costs'!D97-H96*8.5%)*100/10600</f>
        <v>25.179959227910754</v>
      </c>
      <c r="L96" s="35"/>
      <c r="M96" s="36">
        <v>4740</v>
      </c>
      <c r="N96" s="36">
        <f>1183.23/1.1712</f>
        <v>1010.2715163934427</v>
      </c>
      <c r="O96" s="36">
        <f t="shared" si="73"/>
        <v>5640</v>
      </c>
      <c r="P96" s="34">
        <f>(M96-'Processing costs'!G97)*100/9100</f>
        <v>47.53846153846154</v>
      </c>
      <c r="Q96" s="34">
        <f>(N96-'Processing costs'!H97)*100/16700</f>
        <v>2.8698893197212136</v>
      </c>
      <c r="R96" s="34">
        <f>(O96-'Processing costs'!I97)*100/205000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costs'!C98)*100/19900</f>
        <v>27.814070351758794</v>
      </c>
      <c r="J97" s="37">
        <f>((G97-103)-'Processing costs'!E98)*100/203600</f>
        <v>1.1522593320235757</v>
      </c>
      <c r="K97" s="37">
        <f>(G97-'Processing costs'!D98-H97*8.5%)*100/10600</f>
        <v>22.352086501117135</v>
      </c>
      <c r="L97" s="35"/>
      <c r="M97" s="38">
        <v>4700</v>
      </c>
      <c r="N97" s="38">
        <f>1107/1.1868</f>
        <v>932.76036400404439</v>
      </c>
      <c r="O97" s="38">
        <f t="shared" ref="O97:O98" si="76">F97-300</f>
        <v>5550</v>
      </c>
      <c r="P97" s="37">
        <f>(M97-'Processing costs'!G98)*100/9100</f>
        <v>47.098901098901102</v>
      </c>
      <c r="Q97" s="37">
        <f>(N97-'Processing costs'!H98)*100/16700</f>
        <v>2.4057506826589483</v>
      </c>
      <c r="R97" s="37">
        <f>(O97-'Processing costs'!I98)*100/205000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costs'!C99)*100/19900</f>
        <v>28.467336683417084</v>
      </c>
      <c r="J98" s="34">
        <f>((G98-103)-'Processing costs'!E99)*100/203600</f>
        <v>1.2111984282907662</v>
      </c>
      <c r="K98" s="34">
        <f>(G98-'Processing costs'!D99-H98*8.5%)*100/10600</f>
        <v>23.453430409978143</v>
      </c>
      <c r="L98" s="35"/>
      <c r="M98" s="36">
        <v>4860</v>
      </c>
      <c r="N98" s="36">
        <f>1090/1.1604</f>
        <v>939.33126508100645</v>
      </c>
      <c r="O98" s="36">
        <f t="shared" si="76"/>
        <v>5680</v>
      </c>
      <c r="P98" s="34">
        <f>(M98-'Processing costs'!G99)*100/9100</f>
        <v>48.857142857142854</v>
      </c>
      <c r="Q98" s="34">
        <f>(N98-'Processing costs'!H99)*100/16700</f>
        <v>2.4450973956946491</v>
      </c>
      <c r="R98" s="34">
        <f>(O98-'Processing costs'!I99)*100/205000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52</v>
      </c>
      <c r="B99" s="42">
        <v>44835</v>
      </c>
      <c r="C99" s="37">
        <f t="shared" ref="C99" si="77">I99+J99+K99</f>
        <v>51.270759401147288</v>
      </c>
      <c r="D99" s="37">
        <f t="shared" ref="D99:D100" si="78">P99+Q99+R99</f>
        <v>53.952721214168292</v>
      </c>
      <c r="E99" s="35"/>
      <c r="F99" s="38">
        <v>5860</v>
      </c>
      <c r="G99" s="38">
        <v>2980</v>
      </c>
      <c r="H99" s="38">
        <v>1040.8512581199436</v>
      </c>
      <c r="I99" s="37">
        <f>(F99-'Processing costs'!C100)*100/19900</f>
        <v>27.859296482412059</v>
      </c>
      <c r="J99" s="37">
        <f>((G99-103)-'Processing costs'!E100)*100/203600</f>
        <v>1.1517681728880158</v>
      </c>
      <c r="K99" s="37">
        <f>(G99-'Processing costs'!D100-H99*8.5%)*100/10600</f>
        <v>22.259694745847213</v>
      </c>
      <c r="L99" s="35"/>
      <c r="M99" s="38">
        <v>4860</v>
      </c>
      <c r="N99" s="38">
        <f>1076/1.1397</f>
        <v>944.10809862244457</v>
      </c>
      <c r="O99" s="38">
        <f t="shared" ref="O99:O100" si="79">F99-300</f>
        <v>5560</v>
      </c>
      <c r="P99" s="37">
        <f>(M99-'Processing costs'!G100)*100/9100</f>
        <v>48.81318681318681</v>
      </c>
      <c r="Q99" s="37">
        <f>(N99-'Processing costs'!H100)*100/16700</f>
        <v>2.5814856204936802</v>
      </c>
      <c r="R99" s="37">
        <f>(O99-'Processing costs'!I100)*100/205000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costs'!C101)*100/19900</f>
        <v>24.944723618090453</v>
      </c>
      <c r="J100" s="34">
        <f>((G100-103)-'Processing costs'!E101)*100/203600</f>
        <v>0.97003929273084477</v>
      </c>
      <c r="K100" s="34">
        <f>(G100-'Processing costs'!D101-H100*8.5%)*100/10600</f>
        <v>18.77482929503638</v>
      </c>
      <c r="L100" s="35"/>
      <c r="M100" s="36">
        <v>4760</v>
      </c>
      <c r="N100" s="36">
        <f>1033/1.1505</f>
        <v>897.87049109083</v>
      </c>
      <c r="O100" s="36">
        <f t="shared" si="79"/>
        <v>4980</v>
      </c>
      <c r="P100" s="34">
        <f>(M100-'Processing costs'!G101)*100/9100</f>
        <v>47.714285714285715</v>
      </c>
      <c r="Q100" s="34">
        <f>(N100-'Processing costs'!H101)*100/16700</f>
        <v>2.3046137191067668</v>
      </c>
      <c r="R100" s="34">
        <f>(O100-'Processing costs'!I101)*100/205000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costs'!C102)*100/19900</f>
        <v>21.628140703517587</v>
      </c>
      <c r="J101" s="37">
        <f>((G101-103)-'Processing costs'!E102)*100/203600</f>
        <v>0.88163064833005889</v>
      </c>
      <c r="K101" s="37">
        <f>(G101-'Processing costs'!D102-H101*8.5%)*100/10600</f>
        <v>17.120560672071512</v>
      </c>
      <c r="L101" s="35"/>
      <c r="M101" s="38">
        <v>4430</v>
      </c>
      <c r="N101" s="38">
        <f>943/1.1574</f>
        <v>814.7572144461725</v>
      </c>
      <c r="O101" s="38">
        <f t="shared" ref="O101" si="82">F101-300</f>
        <v>4320</v>
      </c>
      <c r="P101" s="37">
        <f>(M101-'Processing costs'!G102)*100/9100</f>
        <v>44.087912087912088</v>
      </c>
      <c r="Q101" s="37">
        <f>(N101-'Processing costs'!H102)*100/16700</f>
        <v>1.8069294278213923</v>
      </c>
      <c r="R101" s="37">
        <f>(O101-'Processing costs'!I102)*100/205000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7" t="s">
        <v>52</v>
      </c>
      <c r="B102" s="41">
        <v>44927</v>
      </c>
      <c r="C102" s="34">
        <f t="shared" ref="C102:C107" si="83">I102+J102+K102</f>
        <v>35.087981384810156</v>
      </c>
      <c r="D102" s="34">
        <f t="shared" si="81"/>
        <v>44.454500055621089</v>
      </c>
      <c r="E102" s="35"/>
      <c r="F102" s="36">
        <v>4120</v>
      </c>
      <c r="G102" s="36">
        <v>2270</v>
      </c>
      <c r="H102" s="36">
        <v>971.90992759087555</v>
      </c>
      <c r="I102" s="34">
        <f>(F102-'Processing costs'!C103)*100/19900</f>
        <v>19.045226130653266</v>
      </c>
      <c r="J102" s="34">
        <f>((G102-103)-'Processing costs'!E103)*100/203600</f>
        <v>0.78438113948919452</v>
      </c>
      <c r="K102" s="34">
        <f>(G102-'Processing costs'!D103-H102*8.5%)*100/10600</f>
        <v>15.258374114667696</v>
      </c>
      <c r="L102" s="35"/>
      <c r="M102" s="36">
        <v>4200</v>
      </c>
      <c r="N102" s="36">
        <f>878.3/1.133</f>
        <v>775.19858781994697</v>
      </c>
      <c r="O102" s="36">
        <f t="shared" ref="O102:O107" si="84">F102-300</f>
        <v>3820</v>
      </c>
      <c r="P102" s="34">
        <f>(M102-'Processing costs'!G103)*100/9100</f>
        <v>41.373626373626372</v>
      </c>
      <c r="Q102" s="34">
        <f>(N102-'Processing costs'!H103)*100/16700</f>
        <v>1.3784346576044728</v>
      </c>
      <c r="R102" s="34">
        <f>(O102-'Processing costs'!I103)*100/205000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7"/>
      <c r="B103" s="42">
        <v>44958</v>
      </c>
      <c r="C103" s="37">
        <f t="shared" si="83"/>
        <v>33.469053916123642</v>
      </c>
      <c r="D103" s="37">
        <f t="shared" ref="D103:D104" si="85">P103+Q103+R103</f>
        <v>38.255952055585503</v>
      </c>
      <c r="E103" s="35"/>
      <c r="F103" s="38">
        <v>3920</v>
      </c>
      <c r="G103" s="38">
        <v>2200</v>
      </c>
      <c r="H103" s="38">
        <v>871.0775461594925</v>
      </c>
      <c r="I103" s="37">
        <f>(F103-'Processing costs'!C104)*100/19900</f>
        <v>18.040201005025125</v>
      </c>
      <c r="J103" s="37">
        <f>((G103-103)-'Processing costs'!E104)*100/203600</f>
        <v>0.75</v>
      </c>
      <c r="K103" s="37">
        <f>(G103-'Processing costs'!D104-H103*8.5%)*100/10600</f>
        <v>14.678852911098518</v>
      </c>
      <c r="L103" s="35"/>
      <c r="M103" s="38">
        <v>3680</v>
      </c>
      <c r="N103" s="38">
        <f>803/1.13</f>
        <v>710.6194690265487</v>
      </c>
      <c r="O103" s="38">
        <f t="shared" si="84"/>
        <v>3620</v>
      </c>
      <c r="P103" s="37">
        <f>(M103-'Processing costs'!G104)*100/9100</f>
        <v>35.659340659340657</v>
      </c>
      <c r="Q103" s="37">
        <f>(N103-'Processing costs'!H104)*100/16700</f>
        <v>0.99173334746436337</v>
      </c>
      <c r="R103" s="37">
        <f>(O103-'Processing costs'!I104)*100/205000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7"/>
      <c r="B104" s="41">
        <v>44986</v>
      </c>
      <c r="C104" s="34">
        <f t="shared" si="83"/>
        <v>34.551080356493181</v>
      </c>
      <c r="D104" s="34">
        <f t="shared" si="85"/>
        <v>38.082119216504104</v>
      </c>
      <c r="E104" s="35"/>
      <c r="F104" s="36">
        <v>4060</v>
      </c>
      <c r="G104" s="36">
        <v>2230</v>
      </c>
      <c r="H104" s="36">
        <v>770.37104843617317</v>
      </c>
      <c r="I104" s="34">
        <f>(F104-'Processing costs'!C105)*100/19900</f>
        <v>18.743718592964825</v>
      </c>
      <c r="J104" s="34">
        <f>((G104-103)-'Processing costs'!E105)*100/203600</f>
        <v>0.76473477406679768</v>
      </c>
      <c r="K104" s="34">
        <f>(G104-'Processing costs'!D105-H104*8.5%)*100/10600</f>
        <v>15.042626989461558</v>
      </c>
      <c r="L104" s="35"/>
      <c r="M104" s="36">
        <v>3670</v>
      </c>
      <c r="N104" s="36">
        <f>780.8/1.134</f>
        <v>688.53615520282187</v>
      </c>
      <c r="O104" s="36">
        <f t="shared" si="84"/>
        <v>3760</v>
      </c>
      <c r="P104" s="34">
        <f>(M104-'Processing costs'!G105)*100/9100</f>
        <v>35.549450549450547</v>
      </c>
      <c r="Q104" s="34">
        <f>(N104-'Processing costs'!H105)*100/16700</f>
        <v>0.85949793534623875</v>
      </c>
      <c r="R104" s="34">
        <f>(O104-'Processing costs'!I105)*100/205000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7" t="s">
        <v>52</v>
      </c>
      <c r="B105" s="42">
        <v>45017</v>
      </c>
      <c r="C105" s="37">
        <f t="shared" si="83"/>
        <v>31.807534316104643</v>
      </c>
      <c r="D105" s="37">
        <f t="shared" ref="D105" si="86">P105+Q105+R105</f>
        <v>36.422202881826806</v>
      </c>
      <c r="E105" s="35"/>
      <c r="F105" s="38">
        <v>3920</v>
      </c>
      <c r="G105" s="38">
        <v>2020</v>
      </c>
      <c r="H105" s="38">
        <v>646.88366230425095</v>
      </c>
      <c r="I105" s="37">
        <f>(F105-'Processing costs'!C106)*100/19900</f>
        <v>18.025125628140703</v>
      </c>
      <c r="J105" s="37">
        <f>((G105-103)-'Processing costs'!E106)*100/203600</f>
        <v>0.65962671905697445</v>
      </c>
      <c r="K105" s="37">
        <f>(G105-'Processing costs'!D106-H105*8.5%)*100/10600</f>
        <v>13.122781968906967</v>
      </c>
      <c r="L105" s="35"/>
      <c r="M105" s="38">
        <v>3550</v>
      </c>
      <c r="N105" s="38">
        <f>754.73/1.136</f>
        <v>664.37500000000011</v>
      </c>
      <c r="O105" s="38">
        <f t="shared" si="84"/>
        <v>3620</v>
      </c>
      <c r="P105" s="37">
        <f>(M105-'Processing costs'!G106)*100/9100</f>
        <v>34.175824175824175</v>
      </c>
      <c r="Q105" s="37">
        <f>(N105-'Processing costs'!H106)*100/16700</f>
        <v>0.64296407185628812</v>
      </c>
      <c r="R105" s="37">
        <f>(O105-'Processing costs'!I106)*100/205000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costs'!C107)*100/19900</f>
        <v>17.974874371859297</v>
      </c>
      <c r="J106" s="34">
        <f>((G106-103)-'Processing costs'!E107)*100/203600</f>
        <v>0.66944990176817287</v>
      </c>
      <c r="K106" s="34">
        <f>(G106-'Processing costs'!D107-H106*8.5%)*100/10600</f>
        <v>13.369005562493546</v>
      </c>
      <c r="L106" s="35"/>
      <c r="M106" s="36">
        <v>3550</v>
      </c>
      <c r="N106" s="36">
        <f>728.58/1.145</f>
        <v>636.31441048034935</v>
      </c>
      <c r="O106" s="36">
        <f t="shared" si="84"/>
        <v>3610</v>
      </c>
      <c r="P106" s="34">
        <f>(M106-'Processing costs'!G107)*100/9100</f>
        <v>34.175824175824175</v>
      </c>
      <c r="Q106" s="34">
        <f>(N106-'Processing costs'!H107)*100/16700</f>
        <v>0.4749365897026907</v>
      </c>
      <c r="R106" s="34">
        <f>(O106-'Processing costs'!I107)*100/205000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costs'!C108)*100/19900</f>
        <v>18.376884422110553</v>
      </c>
      <c r="J107" s="37">
        <f>((G107-103)-'Processing costs'!E108)*100/203600</f>
        <v>0.67927308447937129</v>
      </c>
      <c r="K107" s="37">
        <f>(G107-'Processing costs'!D108-H107*8.5%)*100/10600</f>
        <v>13.601084905660377</v>
      </c>
      <c r="L107" s="35"/>
      <c r="M107" s="38">
        <v>3560</v>
      </c>
      <c r="N107" s="38">
        <f>724.08/1.163</f>
        <v>622.59673258813416</v>
      </c>
      <c r="O107" s="38">
        <f t="shared" si="84"/>
        <v>3690</v>
      </c>
      <c r="P107" s="37">
        <f>(M107-'Processing costs'!G108)*100/9100</f>
        <v>34.285714285714285</v>
      </c>
      <c r="Q107" s="37">
        <f>(N107-'Processing costs'!H108)*100/16700</f>
        <v>0.39279480591697102</v>
      </c>
      <c r="R107" s="37">
        <f>(O107-'Processing costs'!I108)*100/205000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7" t="s">
        <v>52</v>
      </c>
      <c r="B108" s="41">
        <v>45108</v>
      </c>
      <c r="C108" s="34">
        <f t="shared" ref="C108:C109" si="88">I108+J108+K108</f>
        <v>29.664590893359183</v>
      </c>
      <c r="D108" s="34">
        <f t="shared" si="87"/>
        <v>34.602837395279927</v>
      </c>
      <c r="E108" s="35"/>
      <c r="F108" s="36">
        <v>3790</v>
      </c>
      <c r="G108" s="36">
        <v>1900</v>
      </c>
      <c r="H108" s="36">
        <v>455</v>
      </c>
      <c r="I108" s="34">
        <f>(F108-'Processing costs'!C109)*100/19900</f>
        <v>17.2964824120603</v>
      </c>
      <c r="J108" s="34">
        <f>((G108-103)-'Processing costs'!E109)*100/203600</f>
        <v>0.58202357563850693</v>
      </c>
      <c r="K108" s="34">
        <f>(G108-'Processing costs'!D109-H108*8.5%)*100/10600</f>
        <v>11.786084905660378</v>
      </c>
      <c r="L108" s="35"/>
      <c r="M108" s="36">
        <v>3470</v>
      </c>
      <c r="N108" s="36">
        <f>689.32/1.164</f>
        <v>592.19931271477674</v>
      </c>
      <c r="O108" s="36">
        <f t="shared" ref="O108:O113" si="89">F108-300</f>
        <v>3490</v>
      </c>
      <c r="P108" s="34">
        <f>(M108-'Processing costs'!G109)*100/9100</f>
        <v>33.098901098901102</v>
      </c>
      <c r="Q108" s="34">
        <f>(N108-'Processing costs'!H109)*100/16700</f>
        <v>-2.8746630450438692E-2</v>
      </c>
      <c r="R108" s="34">
        <f>(O108-'Processing costs'!I109)*100/205000</f>
        <v>1.5326829268292683</v>
      </c>
    </row>
    <row r="109" spans="1:45" x14ac:dyDescent="0.3">
      <c r="A109" s="87"/>
      <c r="B109" s="42">
        <v>45139</v>
      </c>
      <c r="C109" s="37">
        <f t="shared" si="88"/>
        <v>28.612363457108355</v>
      </c>
      <c r="D109" s="37">
        <f t="shared" si="87"/>
        <v>32.896049748160678</v>
      </c>
      <c r="E109" s="35"/>
      <c r="F109" s="38">
        <v>3680</v>
      </c>
      <c r="G109" s="38">
        <v>1850</v>
      </c>
      <c r="H109" s="38">
        <v>459</v>
      </c>
      <c r="I109" s="37">
        <f>(F109-'Processing costs'!C110)*100/19900</f>
        <v>16.743718592964825</v>
      </c>
      <c r="J109" s="37">
        <f>((G109-103)-'Processing costs'!E110)*100/203600</f>
        <v>0.55746561886051083</v>
      </c>
      <c r="K109" s="37">
        <f>(G109-'Processing costs'!D110-H109*8.5%)*100/10600</f>
        <v>11.311179245283018</v>
      </c>
      <c r="L109" s="35"/>
      <c r="M109" s="38">
        <v>3330</v>
      </c>
      <c r="N109" s="38">
        <f>667.03/1.164</f>
        <v>573.04982817869416</v>
      </c>
      <c r="O109" s="38">
        <f t="shared" si="89"/>
        <v>3380</v>
      </c>
      <c r="P109" s="37">
        <f>(M109-'Processing costs'!G110)*100/9100</f>
        <v>31.560439560439562</v>
      </c>
      <c r="Q109" s="37">
        <f>(N109-'Processing costs'!H110)*100/16700</f>
        <v>-0.1434142025227895</v>
      </c>
      <c r="R109" s="37">
        <f>(O109-'Processing costs'!I110)*100/205000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costs'!C111)*100/19900</f>
        <v>16.894472361809044</v>
      </c>
      <c r="J110" s="34">
        <f>((G110-103)-'Processing costs'!E111)*100/203600</f>
        <v>0.56237721021610998</v>
      </c>
      <c r="K110" s="34">
        <f>(G110-'Processing costs'!D111-H110*8.5%)*100/10600</f>
        <v>11.351792452830189</v>
      </c>
      <c r="L110" s="35"/>
      <c r="M110" s="36">
        <v>3260</v>
      </c>
      <c r="N110" s="36">
        <f>672.25/1.164</f>
        <v>577.53436426116843</v>
      </c>
      <c r="O110" s="36">
        <f t="shared" si="89"/>
        <v>3410</v>
      </c>
      <c r="P110" s="34">
        <f>(M110-'Processing costs'!G111)*100/9100</f>
        <v>30.791208791208792</v>
      </c>
      <c r="Q110" s="34">
        <f>(N110-'Processing costs'!H111)*100/16700</f>
        <v>-0.11656069304689561</v>
      </c>
      <c r="R110" s="34">
        <f>(O110-'Processing costs'!I111)*100/205000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7" t="s">
        <v>52</v>
      </c>
      <c r="B111" s="42">
        <v>45200</v>
      </c>
      <c r="C111" s="37">
        <f>I111+J111+K111</f>
        <v>34.51961458746824</v>
      </c>
      <c r="D111" s="37">
        <f t="shared" si="87"/>
        <v>33.283651684056096</v>
      </c>
      <c r="E111" s="35"/>
      <c r="F111" s="38">
        <v>4070</v>
      </c>
      <c r="G111" s="38">
        <v>2220</v>
      </c>
      <c r="H111" s="38">
        <v>537</v>
      </c>
      <c r="I111" s="37">
        <f>(F111-'Processing costs'!C112)*100/19900</f>
        <v>18.723618090452263</v>
      </c>
      <c r="J111" s="37">
        <f>((G111-103)-'Processing costs'!E112)*100/203600</f>
        <v>0.75491159135559927</v>
      </c>
      <c r="K111" s="37">
        <f>(G111-'Processing costs'!D112-H111*8.5%)*100/10600</f>
        <v>15.041084905660377</v>
      </c>
      <c r="L111" s="35"/>
      <c r="M111" s="38">
        <v>3290</v>
      </c>
      <c r="N111" s="38">
        <f>732.5/1.154</f>
        <v>634.74870017331023</v>
      </c>
      <c r="O111" s="38">
        <f t="shared" si="89"/>
        <v>3770</v>
      </c>
      <c r="P111" s="37">
        <f>(M111-'Processing costs'!G112)*100/9100</f>
        <v>31.164835164835164</v>
      </c>
      <c r="Q111" s="37">
        <f>(N111-'Processing costs'!H112)*100/16700</f>
        <v>0.44759700702580973</v>
      </c>
      <c r="R111" s="37">
        <f>(O111-'Processing costs'!I112)*100/205000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7"/>
      <c r="B112" s="41">
        <v>45231</v>
      </c>
      <c r="C112" s="34">
        <f t="shared" ref="C112" si="91">I112+J112+K112</f>
        <v>37.658690658783783</v>
      </c>
      <c r="D112" s="34">
        <f t="shared" ref="D112:D113" si="92">P112+Q112+R112</f>
        <v>35.169120372550928</v>
      </c>
      <c r="E112" s="35"/>
      <c r="F112" s="36">
        <v>4580</v>
      </c>
      <c r="G112" s="36">
        <v>2280</v>
      </c>
      <c r="H112" s="36">
        <v>561</v>
      </c>
      <c r="I112" s="34">
        <f>(F112-'Processing costs'!C113)*100/19900</f>
        <v>21.286432160804019</v>
      </c>
      <c r="J112" s="34">
        <f>((G112-103)-'Processing costs'!E113)*100/203600</f>
        <v>0.78438113948919452</v>
      </c>
      <c r="K112" s="34">
        <f>(G112-'Processing costs'!D113-H112*8.5%)*100/10600</f>
        <v>15.587877358490566</v>
      </c>
      <c r="L112" s="35"/>
      <c r="M112" s="36">
        <v>3400</v>
      </c>
      <c r="N112" s="36">
        <f>810.02/1.147</f>
        <v>706.20749782040104</v>
      </c>
      <c r="O112" s="36">
        <f t="shared" si="89"/>
        <v>4280</v>
      </c>
      <c r="P112" s="34">
        <f>(M112-'Processing costs'!G113)*100/9100</f>
        <v>32.373626373626372</v>
      </c>
      <c r="Q112" s="34">
        <f>(N112-'Processing costs'!H113)*100/16700</f>
        <v>0.87549399892455715</v>
      </c>
      <c r="R112" s="34">
        <f>(O112-'Processing costs'!I113)*100/205000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7"/>
      <c r="B113" s="42">
        <v>45261</v>
      </c>
      <c r="C113" s="37">
        <f t="shared" ref="C113:C119" si="93">I113+J113+K113</f>
        <v>37.951218840244145</v>
      </c>
      <c r="D113" s="37">
        <f t="shared" si="92"/>
        <v>36.536952701759525</v>
      </c>
      <c r="E113" s="35"/>
      <c r="F113" s="38">
        <v>4740</v>
      </c>
      <c r="G113" s="38">
        <v>2230</v>
      </c>
      <c r="H113" s="38">
        <v>580</v>
      </c>
      <c r="I113" s="37">
        <f>(F113-'Processing costs'!C114)*100/19900</f>
        <v>22.090452261306531</v>
      </c>
      <c r="J113" s="37">
        <f>((G113-103)-'Processing costs'!E114)*100/203600</f>
        <v>0.75982318271119842</v>
      </c>
      <c r="K113" s="37">
        <f>(G113-'Processing costs'!D114-H113*8.5%)*100/10600</f>
        <v>15.100943396226414</v>
      </c>
      <c r="L113" s="35"/>
      <c r="M113" s="38">
        <v>3510</v>
      </c>
      <c r="N113" s="38">
        <f>836.33/1.162</f>
        <v>719.7332185886404</v>
      </c>
      <c r="O113" s="38">
        <f t="shared" si="89"/>
        <v>4440</v>
      </c>
      <c r="P113" s="37">
        <f>(M113-'Processing costs'!G114)*100/9100</f>
        <v>33.582417582417584</v>
      </c>
      <c r="Q113" s="37">
        <f>(N113-'Processing costs'!H114)*100/16700</f>
        <v>0.95648633885413414</v>
      </c>
      <c r="R113" s="37">
        <f>(O113-'Processing costs'!I114)*100/205000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7" t="s">
        <v>52</v>
      </c>
      <c r="B114" s="41">
        <v>45292</v>
      </c>
      <c r="C114" s="34">
        <f t="shared" si="93"/>
        <v>37.443882174523132</v>
      </c>
      <c r="D114" s="34">
        <f t="shared" ref="D114:D119" si="94">P114+Q114+R114</f>
        <v>37.613866985832232</v>
      </c>
      <c r="E114" s="35"/>
      <c r="F114" s="36">
        <v>4750</v>
      </c>
      <c r="G114" s="36">
        <v>2170</v>
      </c>
      <c r="H114" s="36">
        <v>570</v>
      </c>
      <c r="I114" s="34">
        <f>(F114-'Processing costs'!C115)*100/19900</f>
        <v>22.150753768844222</v>
      </c>
      <c r="J114" s="34">
        <f>((G114-103)-'Processing costs'!E115)*100/203600</f>
        <v>0.73133595284872299</v>
      </c>
      <c r="K114" s="34">
        <f>(G114-'Processing costs'!D115-H114*8.5%)*100/10600</f>
        <v>14.561792452830188</v>
      </c>
      <c r="L114" s="35"/>
      <c r="M114" s="36">
        <v>3600</v>
      </c>
      <c r="N114" s="36">
        <f>851.88/1.166</f>
        <v>730.60034305317333</v>
      </c>
      <c r="O114" s="36">
        <f>F114-300</f>
        <v>4450</v>
      </c>
      <c r="P114" s="34">
        <f>(M114-'Processing costs'!G115)*100/9100</f>
        <v>34.582417582417584</v>
      </c>
      <c r="Q114" s="34">
        <f>(N114-'Processing costs'!H115)*100/16700</f>
        <v>1.0275469643902595</v>
      </c>
      <c r="R114" s="34">
        <f>(O114-'Processing costs'!I115)*100/205000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costs'!C116)*100/19900</f>
        <v>22.653266331658291</v>
      </c>
      <c r="J115" s="37">
        <f>((G115-103)-'Processing costs'!E116)*100/203600</f>
        <v>0.71660117878192531</v>
      </c>
      <c r="K115" s="37">
        <f>(G115-'Processing costs'!D116-H115*8.5%)*100/10600</f>
        <v>14.249103773584906</v>
      </c>
      <c r="L115" s="35"/>
      <c r="M115" s="38">
        <v>3530</v>
      </c>
      <c r="N115" s="38">
        <f>833.88/1.163</f>
        <v>717.00773860705067</v>
      </c>
      <c r="O115" s="38">
        <f t="shared" ref="O115" si="95">F115-300</f>
        <v>4550</v>
      </c>
      <c r="P115" s="37">
        <f>(M115-'Processing costs'!G116)*100/9100</f>
        <v>33.81318681318681</v>
      </c>
      <c r="Q115" s="37">
        <f>(N115-'Processing costs'!H116)*100/16700</f>
        <v>0.94615412339551297</v>
      </c>
      <c r="R115" s="37">
        <f>(O115-'Processing costs'!I116)*100/205000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costs'!C117)*100/19900</f>
        <v>22.653266331658291</v>
      </c>
      <c r="J116" s="34">
        <f>((G116-103)-'Processing costs'!E117)*100/203600</f>
        <v>0.66748526522593321</v>
      </c>
      <c r="K116" s="34">
        <f>(G116-'Processing costs'!D117-H116*8.5%)*100/10600</f>
        <v>13.296886792452829</v>
      </c>
      <c r="L116" s="35"/>
      <c r="M116" s="36">
        <v>3490</v>
      </c>
      <c r="N116" s="36">
        <f>812.18/1.157</f>
        <v>701.97061365600689</v>
      </c>
      <c r="O116" s="36">
        <f t="shared" ref="O116:O121" si="96">F116-300</f>
        <v>4550</v>
      </c>
      <c r="P116" s="34">
        <f>(M116-'Processing costs'!G117)*100/9100</f>
        <v>33.373626373626372</v>
      </c>
      <c r="Q116" s="34">
        <f>(N116-'Processing costs'!H117)*100/16700</f>
        <v>0.85611145901800534</v>
      </c>
      <c r="R116" s="34">
        <f>(O116-'Processing costs'!I117)*100/205000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0" t="s">
        <v>52</v>
      </c>
      <c r="B117" s="42">
        <v>45383</v>
      </c>
      <c r="C117" s="37">
        <f t="shared" si="93"/>
        <v>36.141258814273769</v>
      </c>
      <c r="D117" s="37">
        <f t="shared" si="94"/>
        <v>35.568433761410908</v>
      </c>
      <c r="F117" s="38">
        <v>4910</v>
      </c>
      <c r="G117" s="38">
        <v>2000</v>
      </c>
      <c r="H117" s="38">
        <v>659</v>
      </c>
      <c r="I117" s="37">
        <f>(F117-'Processing costs'!C118)*100/19900</f>
        <v>22.904522613065328</v>
      </c>
      <c r="J117" s="37">
        <f>((G117-103)-'Processing costs'!E118)*100/203600</f>
        <v>0.63310412573673869</v>
      </c>
      <c r="K117" s="37">
        <f>(G117-'Processing costs'!D118-H117*8.5%)*100/10600</f>
        <v>12.603632075471698</v>
      </c>
      <c r="M117" s="38">
        <v>3470</v>
      </c>
      <c r="N117" s="38">
        <f>775.52/1.16</f>
        <v>668.55172413793105</v>
      </c>
      <c r="O117" s="38">
        <f t="shared" si="96"/>
        <v>4610</v>
      </c>
      <c r="P117" s="37">
        <f>(M117-'Processing costs'!G118)*100/9100</f>
        <v>33.032967032967036</v>
      </c>
      <c r="Q117" s="37">
        <f>(N117-'Processing costs'!H118)*100/16700</f>
        <v>0.458393557712162</v>
      </c>
      <c r="R117" s="37">
        <f>(O117-'Processing costs'!I118)*100/205000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costs'!C119)*100/19900</f>
        <v>23.758793969849247</v>
      </c>
      <c r="J118" s="34">
        <f>((G118-103)-'Processing costs'!E119)*100/203600</f>
        <v>0.63801571709233795</v>
      </c>
      <c r="K118" s="34">
        <f>(G118-'Processing costs'!D119-H118*8.5%)*100/10600</f>
        <v>12.679528301886792</v>
      </c>
      <c r="L118" s="35"/>
      <c r="M118" s="36">
        <v>3540</v>
      </c>
      <c r="N118" s="36">
        <f>773.68/1.162</f>
        <v>665.81755593803791</v>
      </c>
      <c r="O118" s="36">
        <f t="shared" si="96"/>
        <v>4780</v>
      </c>
      <c r="P118" s="34">
        <f>(M118-'Processing costs'!G119)*100/9100</f>
        <v>33.802197802197803</v>
      </c>
      <c r="Q118" s="34">
        <f>(N118-'Processing costs'!H119)*100/16700</f>
        <v>0.44202129304214322</v>
      </c>
      <c r="R118" s="34">
        <f>(O118-'Processing costs'!I119)*100/205000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costs'!C120)*100/19900</f>
        <v>26.673366834170853</v>
      </c>
      <c r="J119" s="37">
        <f>((G119-103)-'Processing costs'!E120)*100/203600</f>
        <v>0.66257367387033395</v>
      </c>
      <c r="K119" s="37">
        <f>(G119-'Processing costs'!D120-H119*8.5%)*100/10600</f>
        <v>13.160047169811321</v>
      </c>
      <c r="L119" s="35"/>
      <c r="M119" s="38">
        <v>3670</v>
      </c>
      <c r="N119" s="38">
        <f>790.88/1.166</f>
        <v>678.28473413379072</v>
      </c>
      <c r="O119" s="38">
        <f t="shared" si="96"/>
        <v>5360</v>
      </c>
      <c r="P119" s="37">
        <f>(M119-'Processing costs'!G120)*100/9100</f>
        <v>35.230769230769234</v>
      </c>
      <c r="Q119" s="37">
        <f>(N119-'Processing costs'!H120)*100/16700</f>
        <v>0.51667505469335762</v>
      </c>
      <c r="R119" s="37">
        <f>(O119-'Processing costs'!I120)*100/205000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0" t="s">
        <v>52</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costs'!C121)*100/19900</f>
        <v>26.824120603015075</v>
      </c>
      <c r="J120" s="34">
        <f>((G120-103)-'Processing costs'!E121)*100/203600</f>
        <v>0.6547151277013753</v>
      </c>
      <c r="K120" s="34">
        <f>(G120-'Processing costs'!D121-H120*8.5%)*100/10600</f>
        <v>13.009905660377358</v>
      </c>
      <c r="L120" s="35"/>
      <c r="M120" s="36">
        <v>3770</v>
      </c>
      <c r="N120" s="36">
        <f>785.3/1.17</f>
        <v>671.19658119658118</v>
      </c>
      <c r="O120" s="36">
        <f t="shared" si="96"/>
        <v>5380</v>
      </c>
      <c r="P120" s="34">
        <f>(M120-'Processing costs'!G121)*100/9100</f>
        <v>36.450549450549453</v>
      </c>
      <c r="Q120" s="34">
        <f>(N120-'Processing costs'!H121)*100/16700</f>
        <v>0.74369210297353994</v>
      </c>
      <c r="R120" s="34">
        <f>(O120-'Processing costs'!I121)*100/205000</f>
        <v>2.4575609756097561</v>
      </c>
    </row>
    <row r="121" spans="1:45" x14ac:dyDescent="0.35">
      <c r="A121" s="90"/>
      <c r="B121" s="42">
        <v>45505</v>
      </c>
      <c r="C121" s="37">
        <f t="shared" si="97"/>
        <v>42.684913293438314</v>
      </c>
      <c r="D121" s="37">
        <f>P121+Q121+R121</f>
        <v>40.946576748323018</v>
      </c>
      <c r="E121" s="35"/>
      <c r="F121" s="38">
        <v>6100</v>
      </c>
      <c r="G121" s="38">
        <v>2020</v>
      </c>
      <c r="H121" s="38">
        <v>687</v>
      </c>
      <c r="I121" s="37">
        <f>(F121-'Processing costs'!C122)*100/19900</f>
        <v>28.934673366834172</v>
      </c>
      <c r="J121" s="37">
        <f>((G121-103)-'Processing costs'!E122)*100/203600</f>
        <v>0.65962671905697445</v>
      </c>
      <c r="K121" s="37">
        <f>(G121-'Processing costs'!D122-H121*8.5%)*100/10600</f>
        <v>13.09061320754717</v>
      </c>
      <c r="L121" s="35"/>
      <c r="M121" s="38">
        <v>3860</v>
      </c>
      <c r="N121" s="38">
        <f>805.7/1.171</f>
        <v>688.04440649017931</v>
      </c>
      <c r="O121" s="38">
        <f t="shared" si="96"/>
        <v>5800</v>
      </c>
      <c r="P121" s="37">
        <f>(M121-'Processing costs'!G122)*100/9100</f>
        <v>37.439560439560438</v>
      </c>
      <c r="Q121" s="37">
        <f>(N121-'Processing costs'!H122)*100/16700</f>
        <v>0.84457728437233126</v>
      </c>
      <c r="R121" s="37">
        <f>(O121-'Processing costs'!I122)*100/205000</f>
        <v>2.662439024390244</v>
      </c>
    </row>
    <row r="122" spans="1:45" x14ac:dyDescent="0.35">
      <c r="A122" s="90" t="s">
        <v>52</v>
      </c>
      <c r="B122" s="41">
        <v>45536</v>
      </c>
      <c r="C122" s="34">
        <f t="shared" si="97"/>
        <v>50.032009188338044</v>
      </c>
      <c r="D122" s="34">
        <f t="shared" ref="D122" si="99">P122+Q122+R122</f>
        <v>46.777924885212144</v>
      </c>
      <c r="E122" s="35"/>
      <c r="F122" s="36">
        <v>6730</v>
      </c>
      <c r="G122" s="36">
        <v>2150</v>
      </c>
      <c r="H122" s="36">
        <v>677</v>
      </c>
      <c r="I122" s="34">
        <f>(F122-'Processing costs'!C123)*100/19200</f>
        <v>33.307291666666664</v>
      </c>
      <c r="J122" s="34">
        <f>((G122-103)-'Processing costs'!E123)*100/202700</f>
        <v>0.80266403552047361</v>
      </c>
      <c r="K122" s="34">
        <f>(G122-'Processing costs'!D123-H122*9.3%)*100/10470</f>
        <v>15.922053486150906</v>
      </c>
      <c r="L122" s="35"/>
      <c r="M122" s="36">
        <v>4150</v>
      </c>
      <c r="N122" s="36">
        <f>896.5/1.17</f>
        <v>766.23931623931628</v>
      </c>
      <c r="O122" s="36">
        <f t="shared" ref="O122:O133" si="100">F122*0.95</f>
        <v>6393.5</v>
      </c>
      <c r="P122" s="34">
        <f>(M122-'Processing costs'!G123)*100/8860</f>
        <v>42.042889390519186</v>
      </c>
      <c r="Q122" s="34">
        <f>(N122-'Processing costs'!H123)*100/16700</f>
        <v>1.8637084804749477</v>
      </c>
      <c r="R122" s="34">
        <f>(O122-'Processing costs'!I123)*100/211000</f>
        <v>2.8713270142180094</v>
      </c>
    </row>
    <row r="123" spans="1:45" x14ac:dyDescent="0.35">
      <c r="A123" s="90"/>
      <c r="B123" s="42">
        <v>45566</v>
      </c>
      <c r="C123" s="37">
        <f t="shared" si="97"/>
        <v>48.21366118144072</v>
      </c>
      <c r="D123" s="37">
        <f t="shared" ref="D123:D128" si="101">P123+Q123+R123</f>
        <v>48.473652449563097</v>
      </c>
      <c r="E123" s="35"/>
      <c r="F123" s="38">
        <v>6500</v>
      </c>
      <c r="G123" s="38">
        <v>2090</v>
      </c>
      <c r="H123" s="38">
        <v>697</v>
      </c>
      <c r="I123" s="37">
        <f>(F123-'Processing costs'!C124)*100/19200</f>
        <v>32.109375</v>
      </c>
      <c r="J123" s="37">
        <f>((G123-103)-'Processing costs'!E124)*100/202700</f>
        <v>0.77306364084854462</v>
      </c>
      <c r="K123" s="37">
        <f>(G123-'Processing costs'!D124-H123*9.3%)*100/10470</f>
        <v>15.33122254059217</v>
      </c>
      <c r="L123" s="35"/>
      <c r="M123" s="38">
        <v>4300</v>
      </c>
      <c r="N123" s="38">
        <f>918.05/1.171</f>
        <v>783.98804440649008</v>
      </c>
      <c r="O123" s="38">
        <f t="shared" si="100"/>
        <v>6175</v>
      </c>
      <c r="P123" s="37">
        <f>(M123-'Processing costs'!G124)*100/8860</f>
        <v>43.735891647855532</v>
      </c>
      <c r="Q123" s="37">
        <f>(N123-'Processing costs'!H124)*100/16700</f>
        <v>1.969988289859222</v>
      </c>
      <c r="R123" s="37">
        <f>(O123-'Processing costs'!I124)*100/211000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0"/>
      <c r="B124" s="41">
        <v>45597</v>
      </c>
      <c r="C124" s="34">
        <f t="shared" si="97"/>
        <v>48.965669663750127</v>
      </c>
      <c r="D124" s="34">
        <f t="shared" si="101"/>
        <v>47.334261198890871</v>
      </c>
      <c r="E124" s="35"/>
      <c r="F124" s="36">
        <v>6630</v>
      </c>
      <c r="G124" s="36">
        <v>2100</v>
      </c>
      <c r="H124" s="36">
        <v>725.72971816376253</v>
      </c>
      <c r="I124" s="34">
        <f>(F124-'Processing costs'!C125)*100/19200</f>
        <v>32.786458333333336</v>
      </c>
      <c r="J124" s="34">
        <f>((G124-103)-'Processing costs'!E125)*100/202700</f>
        <v>0.77799703996053282</v>
      </c>
      <c r="K124" s="34">
        <f>(G124-'Processing costs'!D125-H124*9.3%)*100/10470</f>
        <v>15.401214290456258</v>
      </c>
      <c r="L124" s="35"/>
      <c r="M124" s="36">
        <v>4190</v>
      </c>
      <c r="N124" s="36">
        <f>924.205/1.168</f>
        <v>791.27140410958907</v>
      </c>
      <c r="O124" s="36">
        <f t="shared" si="100"/>
        <v>6298.5</v>
      </c>
      <c r="P124" s="34">
        <f>(M124-'Processing costs'!G125)*100/8860</f>
        <v>42.494356659142213</v>
      </c>
      <c r="Q124" s="34">
        <f>(N124-'Processing costs'!H125)*100/16700</f>
        <v>2.0136012222131083</v>
      </c>
      <c r="R124" s="34">
        <f>(O124-'Processing costs'!I125)*100/211000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0"/>
      <c r="B125" s="42">
        <v>45627</v>
      </c>
      <c r="C125" s="37">
        <f t="shared" si="97"/>
        <v>48.107317383396804</v>
      </c>
      <c r="D125" s="37">
        <f t="shared" si="101"/>
        <v>46.216022495840534</v>
      </c>
      <c r="E125" s="35"/>
      <c r="F125" s="38">
        <v>6470</v>
      </c>
      <c r="G125" s="38">
        <v>2100</v>
      </c>
      <c r="H125" s="38">
        <v>753.89621013142096</v>
      </c>
      <c r="I125" s="37">
        <f>(F125-'Processing costs'!C126)*100/19200</f>
        <v>31.953125</v>
      </c>
      <c r="J125" s="37">
        <f>((G125-103)-'Processing costs'!E126)*100/202700</f>
        <v>0.77799703996053282</v>
      </c>
      <c r="K125" s="37">
        <f>(G125-'Processing costs'!D126-H125*9.3%)*100/10470</f>
        <v>15.376195343436274</v>
      </c>
      <c r="L125" s="35"/>
      <c r="M125" s="38">
        <v>4080</v>
      </c>
      <c r="N125" s="38">
        <f>963.13/1.169</f>
        <v>823.8922155688623</v>
      </c>
      <c r="O125" s="38">
        <f t="shared" si="100"/>
        <v>6146.5</v>
      </c>
      <c r="P125" s="37">
        <f>(M125-'Processing costs'!G126)*100/8860</f>
        <v>41.252821670428894</v>
      </c>
      <c r="Q125" s="37">
        <f>(N125-'Processing costs'!H126)*100/16700</f>
        <v>2.2089354225680378</v>
      </c>
      <c r="R125" s="37">
        <f>(O125-'Processing costs'!I126)*100/211000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0"/>
      <c r="B126" s="41">
        <v>45658</v>
      </c>
      <c r="C126" s="34">
        <f t="shared" si="97"/>
        <v>46.475934342854273</v>
      </c>
      <c r="D126" s="34">
        <f t="shared" si="101"/>
        <v>45.113762277795942</v>
      </c>
      <c r="E126" s="35"/>
      <c r="F126" s="36">
        <v>6180</v>
      </c>
      <c r="G126" s="36">
        <v>2090</v>
      </c>
      <c r="H126" s="36">
        <v>777</v>
      </c>
      <c r="I126" s="34">
        <f>(F126-'Processing costs'!C127)*100/19200</f>
        <v>30.442708333333332</v>
      </c>
      <c r="J126" s="34">
        <f>((G126-103)-'Processing costs'!E127)*100/202700</f>
        <v>0.77306364084854462</v>
      </c>
      <c r="K126" s="34">
        <f>(G126-'Processing costs'!D127-H126*9.3%)*100/10470</f>
        <v>15.260162368672397</v>
      </c>
      <c r="L126" s="35"/>
      <c r="M126" s="36">
        <v>3990</v>
      </c>
      <c r="N126" s="36">
        <f>970.91/1.168</f>
        <v>831.25856164383561</v>
      </c>
      <c r="O126" s="36">
        <f t="shared" si="100"/>
        <v>5871</v>
      </c>
      <c r="P126" s="34">
        <f>(M126-'Processing costs'!G127)*100/8860</f>
        <v>40.237020316027085</v>
      </c>
      <c r="Q126" s="34">
        <f>(N126-'Processing costs'!H127)*100/16700</f>
        <v>2.2530452793044051</v>
      </c>
      <c r="R126" s="34">
        <f>(O126-'Processing costs'!I127)*100/211000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costs'!C128)*100/19200</f>
        <v>29.088541666666668</v>
      </c>
      <c r="J127" s="37">
        <f>((G127-103)-'Processing costs'!E128)*100/202700</f>
        <v>0.73852984706462754</v>
      </c>
      <c r="K127" s="37">
        <f>(G127-'Processing costs'!D128-H127*9.3%)*100/10470</f>
        <v>14.573820439350525</v>
      </c>
      <c r="L127" s="35"/>
      <c r="M127" s="38">
        <v>3960</v>
      </c>
      <c r="N127" s="38">
        <f>1009.93/1.172</f>
        <v>861.71501706484639</v>
      </c>
      <c r="O127" s="38">
        <f t="shared" si="100"/>
        <v>5624</v>
      </c>
      <c r="P127" s="37">
        <f>(M127-'Processing costs'!G128)*100/8860</f>
        <v>39.89841986455982</v>
      </c>
      <c r="Q127" s="37">
        <f>(N127-'Processing costs'!H128)*100/16700</f>
        <v>2.4354192638613559</v>
      </c>
      <c r="R127" s="37">
        <f>(O127-'Processing costs'!I128)*100/211000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costs'!C129)*100/19200</f>
        <v>29.869791666666668</v>
      </c>
      <c r="J128" s="34">
        <f>((G128-103)-'Processing costs'!E129)*100/202700</f>
        <v>0.73359644795263934</v>
      </c>
      <c r="K128" s="34">
        <f>(G128-'Processing costs'!D129-H128*9.3%)*100/10470</f>
        <v>14.490744985673352</v>
      </c>
      <c r="L128" s="35"/>
      <c r="M128" s="36">
        <v>4020</v>
      </c>
      <c r="N128" s="36">
        <f>1023.85/1.17</f>
        <v>875.08547008547021</v>
      </c>
      <c r="O128" s="36">
        <f t="shared" si="100"/>
        <v>5766.5</v>
      </c>
      <c r="P128" s="34">
        <f>(M128-'Processing costs'!G129)*100/8860</f>
        <v>40.575620767494357</v>
      </c>
      <c r="Q128" s="34">
        <f>(N128-'Processing costs'!H129)*100/16700</f>
        <v>2.515481856799223</v>
      </c>
      <c r="R128" s="34">
        <f>(O128-'Processing costs'!I129)*100/211000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0"/>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costs'!C130)*100/19200</f>
        <v>29.765625</v>
      </c>
      <c r="J129" s="37">
        <f>((G129-103)-'Processing costs'!E130)*100/202700</f>
        <v>0.71879625061667485</v>
      </c>
      <c r="K129" s="37">
        <f>(G129-'Processing costs'!D130-H129*9.3%)*100/10470</f>
        <v>14.203323782234955</v>
      </c>
      <c r="L129" s="35"/>
      <c r="M129" s="38">
        <v>4020</v>
      </c>
      <c r="N129" s="38">
        <f>1031/1.168</f>
        <v>882.70547945205487</v>
      </c>
      <c r="O129" s="38">
        <f t="shared" si="100"/>
        <v>5747.5</v>
      </c>
      <c r="P129" s="37">
        <f>(M129-'Processing costs'!G130)*100/8860</f>
        <v>40.575620767494357</v>
      </c>
      <c r="Q129" s="37">
        <f>(N129-'Processing costs'!H130)*100/16700</f>
        <v>2.5611106554015262</v>
      </c>
      <c r="R129" s="37">
        <f>(O129-'Processing costs'!I130)*100/211000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costs'!C131)*100/19200</f>
        <v>29.817708333333332</v>
      </c>
      <c r="J130" s="34">
        <f>((G130-103)-'Processing costs'!E131)*100/202700</f>
        <v>0.71386285150468676</v>
      </c>
      <c r="K130" s="34">
        <f>(G130-'Processing costs'!D131-H130*9.3%)*100/10470</f>
        <v>14.113142311365808</v>
      </c>
      <c r="L130" s="35"/>
      <c r="M130" s="36">
        <v>3950</v>
      </c>
      <c r="N130" s="36">
        <f>993.55/1.167</f>
        <v>851.3710368466152</v>
      </c>
      <c r="O130" s="36">
        <f t="shared" si="100"/>
        <v>5757</v>
      </c>
      <c r="P130" s="34">
        <f>(M130-'Processing costs'!G131)*100/8860</f>
        <v>39.785553047404065</v>
      </c>
      <c r="Q130" s="34">
        <f>(N130-'Processing costs'!H131)*100/16700</f>
        <v>2.3734792625545817</v>
      </c>
      <c r="R130" s="34">
        <f>(O130-'Processing costs'!I131)*100/211000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costs'!C132)*100/19200</f>
        <v>30.338541666666668</v>
      </c>
      <c r="J131" s="37">
        <f>((G131-103)-'Processing costs'!E132)*100/202700</f>
        <v>0.71879625061667485</v>
      </c>
      <c r="K131" s="37">
        <f>(G131-'Processing costs'!D132-H131*9.3%)*100/10470</f>
        <v>14.198882521489972</v>
      </c>
      <c r="L131" s="35"/>
      <c r="M131" s="38">
        <v>3900</v>
      </c>
      <c r="N131" s="38">
        <f>985.01/1.167</f>
        <v>844.05312767780629</v>
      </c>
      <c r="O131" s="38">
        <f t="shared" si="100"/>
        <v>5852</v>
      </c>
      <c r="P131" s="37">
        <f>(M131-'Processing costs'!G132)*100/8860</f>
        <v>39.221218961625283</v>
      </c>
      <c r="Q131" s="37">
        <f>(N131-'Processing costs'!H132)*100/16700</f>
        <v>2.3296594471724927</v>
      </c>
      <c r="R131" s="37">
        <f>(O131-'Processing costs'!I132)*100/211000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costs'!C133)*100/19200</f>
        <v>30.286458333333332</v>
      </c>
      <c r="J132" s="34">
        <f>((G132-103)-'Processing costs'!E133)*100/202700</f>
        <v>0.71386285150468676</v>
      </c>
      <c r="K132" s="34">
        <f>(G132-'Processing costs'!D133-H132*9.3%)*100/10470</f>
        <v>14.078500477554918</v>
      </c>
      <c r="L132" s="35"/>
      <c r="M132" s="36">
        <v>3890</v>
      </c>
      <c r="N132" s="36">
        <f>941.4/1.158</f>
        <v>812.9533678756477</v>
      </c>
      <c r="O132" s="36">
        <f t="shared" si="100"/>
        <v>5842.5</v>
      </c>
      <c r="P132" s="34">
        <f>(M132-'Processing costs'!G133)*100/8860</f>
        <v>39.108352144469528</v>
      </c>
      <c r="Q132" s="34">
        <f>(N132-'Processing costs'!H133)*100/16700</f>
        <v>2.1434333405727406</v>
      </c>
      <c r="R132" s="34">
        <f>(O132-'Processing costs'!I133)*100/211000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43.255628651225621</v>
      </c>
      <c r="E133" s="35"/>
      <c r="F133" s="38">
        <v>6050</v>
      </c>
      <c r="G133" s="38">
        <v>1990</v>
      </c>
      <c r="H133" s="38">
        <v>823</v>
      </c>
      <c r="I133" s="37">
        <f>(F133-'Processing costs'!C134)*100/19200</f>
        <v>29.765625</v>
      </c>
      <c r="J133" s="37">
        <f>((G133-103)-'Processing costs'!E134)*100/202700</f>
        <v>0.72372964972866305</v>
      </c>
      <c r="K133" s="37">
        <f>(G133-'Processing costs'!D134-H133*9.3%)*100/10470</f>
        <v>14.264192932187202</v>
      </c>
      <c r="L133" s="35"/>
      <c r="M133" s="38">
        <v>3830</v>
      </c>
      <c r="N133" s="38">
        <f>960.48/1.154</f>
        <v>832.30502599653391</v>
      </c>
      <c r="O133" s="38">
        <f t="shared" si="100"/>
        <v>5747.5</v>
      </c>
      <c r="P133" s="37">
        <f>(M133-'Processing costs'!G134)*100/8860</f>
        <v>38.431151241534991</v>
      </c>
      <c r="Q133" s="37">
        <f>(N133-'Processing costs'!H134)*100/16700</f>
        <v>2.2593115329133768</v>
      </c>
      <c r="R133" s="37">
        <f>(O133-'Processing costs'!I134)*100/211000</f>
        <v>2.5651658767772512</v>
      </c>
    </row>
    <row r="134" spans="1:45" x14ac:dyDescent="0.3">
      <c r="A134" s="95" t="s">
        <v>52</v>
      </c>
      <c r="B134" s="41">
        <v>45901</v>
      </c>
      <c r="C134" s="34">
        <f t="shared" si="103"/>
        <v>41.268871458742979</v>
      </c>
      <c r="D134" s="34">
        <f t="shared" ref="D134" si="107">P134+Q134+R134</f>
        <v>38.489015676080392</v>
      </c>
      <c r="E134" s="35"/>
      <c r="F134" s="36">
        <v>5540</v>
      </c>
      <c r="G134" s="36">
        <v>1910</v>
      </c>
      <c r="H134" s="36">
        <v>851</v>
      </c>
      <c r="I134" s="34">
        <f>(F134-'Processing costs'!C135)*100/19200</f>
        <v>27.109375</v>
      </c>
      <c r="J134" s="34">
        <f>((G134-103)-'Processing costs'!E135)*100/202700</f>
        <v>0.68426245683275777</v>
      </c>
      <c r="K134" s="34">
        <f>(G134-'Processing costs'!D135-H134*9.3%)*100/10470</f>
        <v>13.47523400191022</v>
      </c>
      <c r="L134" s="35"/>
      <c r="M134" s="36">
        <v>3420</v>
      </c>
      <c r="N134" s="36">
        <f>976.32/1.1521</f>
        <v>847.42643867719823</v>
      </c>
      <c r="O134" s="36">
        <f t="shared" ref="O134:O139" si="108">F134*0.95</f>
        <v>5263</v>
      </c>
      <c r="P134" s="34">
        <f>(M134-'Processing costs'!G135)*100/8860</f>
        <v>33.803611738148987</v>
      </c>
      <c r="Q134" s="34">
        <f>(N134-'Processing costs'!H135)*100/16700</f>
        <v>2.3498589142347202</v>
      </c>
      <c r="R134" s="34">
        <f>(O134-'Processing costs'!I135)*100/211000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5"/>
      <c r="B135" s="42">
        <v>45931</v>
      </c>
      <c r="C135" s="37">
        <f t="shared" ref="C135" si="109">I135+J135+K135</f>
        <v>35.873269816114259</v>
      </c>
      <c r="D135" s="37">
        <f t="shared" ref="D135" si="110">P135+Q135+R135</f>
        <v>34.694595477710436</v>
      </c>
      <c r="E135" s="35"/>
      <c r="F135" s="38">
        <v>4680</v>
      </c>
      <c r="G135" s="38">
        <v>1820</v>
      </c>
      <c r="H135" s="38">
        <v>865</v>
      </c>
      <c r="I135" s="37">
        <f>(F135-'Processing costs'!C136)*100/19200</f>
        <v>22.630208333333332</v>
      </c>
      <c r="J135" s="37">
        <f>((G135-103)-'Processing costs'!E136)*100/202700</f>
        <v>0.63986186482486429</v>
      </c>
      <c r="K135" s="37">
        <f>(G135-'Processing costs'!D136-H135*9.3%)*100/10470</f>
        <v>12.603199617956065</v>
      </c>
      <c r="L135" s="35"/>
      <c r="M135" s="38">
        <v>3110</v>
      </c>
      <c r="N135" s="38">
        <f>991.28/1.149</f>
        <v>862.73281114012184</v>
      </c>
      <c r="O135" s="38">
        <f t="shared" si="108"/>
        <v>4446</v>
      </c>
      <c r="P135" s="37">
        <f>(M135-'Processing costs'!G136)*100/8860</f>
        <v>30.304740406320541</v>
      </c>
      <c r="Q135" s="37">
        <f>(N135-'Processing costs'!H136)*100/16700</f>
        <v>2.4415138391624063</v>
      </c>
      <c r="R135" s="37">
        <f>(O135-'Processing costs'!I136)*100/211000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5"/>
      <c r="B136" s="41">
        <v>45962</v>
      </c>
      <c r="C136" s="34">
        <f t="shared" ref="C136:C141" si="111">I136+J136+K136</f>
        <v>33.615371738043102</v>
      </c>
      <c r="D136" s="34">
        <f t="shared" ref="D136:D141" si="112">P136+Q136+R136</f>
        <v>33.028987436888812</v>
      </c>
      <c r="E136" s="35"/>
      <c r="F136" s="36">
        <v>4290</v>
      </c>
      <c r="G136" s="36">
        <v>1800</v>
      </c>
      <c r="H136" s="36">
        <v>894</v>
      </c>
      <c r="I136" s="34">
        <f>(F136-'Processing costs'!C137)*100/19200</f>
        <v>20.598958333333332</v>
      </c>
      <c r="J136" s="34">
        <f>((G136-103)-'Processing costs'!E137)*100/202700</f>
        <v>0.629995066600888</v>
      </c>
      <c r="K136" s="34">
        <f>(G136-'Processing costs'!D137-H136*9.3%)*100/10470</f>
        <v>12.386418338108882</v>
      </c>
      <c r="L136" s="35"/>
      <c r="M136" s="36">
        <v>2960</v>
      </c>
      <c r="N136" s="36">
        <f>1022.16/1.14</f>
        <v>896.63157894736844</v>
      </c>
      <c r="O136" s="36">
        <f t="shared" si="108"/>
        <v>4075.5</v>
      </c>
      <c r="P136" s="34">
        <f>(M136-'Processing costs'!G137)*100/8860</f>
        <v>28.611738148984198</v>
      </c>
      <c r="Q136" s="34">
        <f>(N136-'Processing costs'!H137)*100/16700</f>
        <v>2.6445004727387333</v>
      </c>
      <c r="R136" s="34">
        <f>(O136-'Processing costs'!I137)*100/211000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5"/>
      <c r="B137" s="42">
        <v>45992</v>
      </c>
      <c r="C137" s="37">
        <f t="shared" si="111"/>
        <v>29.879880446646958</v>
      </c>
      <c r="D137" s="37">
        <f t="shared" si="112"/>
        <v>31.495034571971114</v>
      </c>
      <c r="E137" s="35"/>
      <c r="F137" s="38">
        <v>3710</v>
      </c>
      <c r="G137" s="38">
        <v>1730</v>
      </c>
      <c r="H137" s="38">
        <v>907</v>
      </c>
      <c r="I137" s="37">
        <f>(F137-'Processing costs'!C138)*100/19200</f>
        <v>17.578125</v>
      </c>
      <c r="J137" s="37">
        <f>((G137-103)-'Processing costs'!E138)*100/202700</f>
        <v>0.59546127281697092</v>
      </c>
      <c r="K137" s="37">
        <f>(G137-'Processing costs'!D138-H137*9.3%)*100/10470</f>
        <v>11.70629417382999</v>
      </c>
      <c r="L137" s="35"/>
      <c r="M137" s="38">
        <v>2830</v>
      </c>
      <c r="N137" s="98">
        <f>1059.18/1.14</f>
        <v>929.10526315789491</v>
      </c>
      <c r="O137" s="38">
        <f t="shared" si="108"/>
        <v>3524.5</v>
      </c>
      <c r="P137" s="37">
        <f>(M137-'Processing costs'!G138)*100/8860</f>
        <v>27.144469525959369</v>
      </c>
      <c r="Q137" s="37">
        <f>(N137-'Processing costs'!H138)*100/16700</f>
        <v>2.8389536716041608</v>
      </c>
      <c r="R137" s="37">
        <f>(O137-'Processing costs'!I138)*100/211000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5"/>
      <c r="B138" s="41">
        <v>46023</v>
      </c>
      <c r="C138" s="34">
        <f t="shared" si="111"/>
        <v>30.090977295703325</v>
      </c>
      <c r="D138" s="34">
        <f t="shared" si="112"/>
        <v>31.782697592174475</v>
      </c>
      <c r="E138" s="35"/>
      <c r="F138" s="36">
        <v>3600</v>
      </c>
      <c r="G138" s="36">
        <v>1810</v>
      </c>
      <c r="H138" s="36">
        <v>929</v>
      </c>
      <c r="I138" s="34">
        <f>(F138-'Processing costs'!C139)*100/19200</f>
        <v>17.005208333333332</v>
      </c>
      <c r="J138" s="34">
        <f>((G138-103)-'Processing costs'!E139)*100/202700</f>
        <v>0.6349284657128762</v>
      </c>
      <c r="K138" s="34">
        <f>(G138-'Processing costs'!D139-H138*9.3%)*100/10470</f>
        <v>12.450840496657117</v>
      </c>
      <c r="L138" s="35"/>
      <c r="M138" s="36">
        <v>2860</v>
      </c>
      <c r="N138" s="36">
        <f>1068.2/1.15</f>
        <v>928.86956521739137</v>
      </c>
      <c r="O138" s="36">
        <f t="shared" si="108"/>
        <v>3420</v>
      </c>
      <c r="P138" s="34">
        <f>(M138-'Processing costs'!G139)*100/8860</f>
        <v>27.483069977426638</v>
      </c>
      <c r="Q138" s="34">
        <f>(N138-'Processing costs'!H139)*100/16700</f>
        <v>2.8375423066909664</v>
      </c>
      <c r="R138" s="34">
        <f>(O138-'Processing costs'!I139)*100/211000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A139" s="95"/>
      <c r="B139" s="42">
        <v>46054</v>
      </c>
      <c r="C139" s="37">
        <f t="shared" si="111"/>
        <v>32.75156940078049</v>
      </c>
      <c r="D139" s="37">
        <f t="shared" si="112"/>
        <v>32.707922571242321</v>
      </c>
      <c r="E139" s="35"/>
      <c r="F139" s="38">
        <v>3670</v>
      </c>
      <c r="G139" s="38">
        <v>2040</v>
      </c>
      <c r="H139" s="38">
        <v>945</v>
      </c>
      <c r="I139" s="37">
        <f>(F139-'Processing costs'!C140)*100/19200</f>
        <v>17.369791666666668</v>
      </c>
      <c r="J139" s="37">
        <f>((G139-103)-'Processing costs'!E140)*100/202700</f>
        <v>0.74839664528860383</v>
      </c>
      <c r="K139" s="37">
        <f>(G139-'Processing costs'!D140-H139*9.3%)*100/10470</f>
        <v>14.633381088825216</v>
      </c>
      <c r="L139" s="35"/>
      <c r="M139" s="38">
        <v>2920</v>
      </c>
      <c r="N139" s="98">
        <f>1100.13/1.14</f>
        <v>965.02631578947387</v>
      </c>
      <c r="O139" s="38">
        <f t="shared" si="108"/>
        <v>3486.5</v>
      </c>
      <c r="P139" s="37">
        <f>(M139-'Processing costs'!G140)*100/8860</f>
        <v>28.160270880361175</v>
      </c>
      <c r="Q139" s="37">
        <f>(N139-'Processing costs'!H140)*100/16700</f>
        <v>3.0540497951465504</v>
      </c>
      <c r="R139" s="37">
        <f>(O139-'Processing costs'!I140)*100/211000</f>
        <v>1.4936018957345971</v>
      </c>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A140" s="95"/>
      <c r="B140" s="41">
        <v>46082</v>
      </c>
      <c r="C140" s="34">
        <f t="shared" si="111"/>
        <v>37.349283647301547</v>
      </c>
      <c r="D140" s="34">
        <f t="shared" si="112"/>
        <v>34.886360489944224</v>
      </c>
      <c r="E140" s="35"/>
      <c r="F140" s="36">
        <v>3980</v>
      </c>
      <c r="G140" s="36">
        <v>2340</v>
      </c>
      <c r="H140" s="36">
        <v>979</v>
      </c>
      <c r="I140" s="34">
        <f>(F140-'Processing costs'!C141)*100/19200</f>
        <v>18.984375</v>
      </c>
      <c r="J140" s="34">
        <f>((G140-103)-'Processing costs'!E141)*100/202700</f>
        <v>0.89639861864824866</v>
      </c>
      <c r="K140" s="34">
        <f>(G140-'Processing costs'!D141-H140*9.3%)*100/10470</f>
        <v>17.468510028653295</v>
      </c>
      <c r="L140" s="35"/>
      <c r="M140" s="36">
        <v>3080</v>
      </c>
      <c r="N140" s="36">
        <v>1003.936545</v>
      </c>
      <c r="O140" s="36">
        <f t="shared" ref="O140:O141" si="113">F140*0.95</f>
        <v>3781</v>
      </c>
      <c r="P140" s="34">
        <f>(M140-'Processing costs'!G141)*100/8860</f>
        <v>29.966139954853272</v>
      </c>
      <c r="Q140" s="34">
        <f>(N140-'Processing costs'!H141)*100/16700</f>
        <v>3.2870451796407187</v>
      </c>
      <c r="R140" s="34">
        <f>(O140-'Processing costs'!I141)*100/211000</f>
        <v>1.6331753554502371</v>
      </c>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A141" s="95"/>
      <c r="B141" s="42">
        <v>46113</v>
      </c>
      <c r="C141" s="37">
        <f t="shared" si="111"/>
        <v>35.252341902699428</v>
      </c>
      <c r="D141" s="37">
        <f t="shared" si="112"/>
        <v>34.823656509475249</v>
      </c>
      <c r="E141" s="35"/>
      <c r="F141" s="38">
        <v>3540</v>
      </c>
      <c r="G141" s="38">
        <v>2360</v>
      </c>
      <c r="H141" s="38">
        <v>1014</v>
      </c>
      <c r="I141" s="37">
        <f>(F141-'Processing costs'!C142)*100/19200</f>
        <v>16.6875</v>
      </c>
      <c r="J141" s="37">
        <f>((G141-103)-'Processing costs'!E142)*100/202700</f>
        <v>0.90774543660582141</v>
      </c>
      <c r="K141" s="37">
        <f>(G141-'Processing costs'!D142-H141*9.3%)*100/10470</f>
        <v>17.657096466093602</v>
      </c>
      <c r="L141" s="35"/>
      <c r="M141" s="38">
        <v>2980</v>
      </c>
      <c r="N141" s="98">
        <v>1213</v>
      </c>
      <c r="O141" s="38">
        <f t="shared" si="113"/>
        <v>3363</v>
      </c>
      <c r="P141" s="37">
        <f>(M141-'Processing costs'!G142)*100/8860</f>
        <v>28.826185101580137</v>
      </c>
      <c r="Q141" s="37">
        <f>(N141-'Processing costs'!H142)*100/16700</f>
        <v>4.5628742514970062</v>
      </c>
      <c r="R141" s="37">
        <f>(O141-'Processing costs'!I142)*100/211000</f>
        <v>1.4345971563981044</v>
      </c>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s="16" customFormat="1" x14ac:dyDescent="0.3">
      <c r="B142" s="41">
        <v>46143</v>
      </c>
      <c r="C142" s="34">
        <f t="shared" ref="C142" si="114">I142+J142+K142</f>
        <v>35.535500942034204</v>
      </c>
      <c r="D142" s="34">
        <f t="shared" ref="D142" si="115">P142+Q142+R142</f>
        <v>34.523148459854973</v>
      </c>
      <c r="E142" s="35"/>
      <c r="F142" s="36">
        <v>3330</v>
      </c>
      <c r="G142" s="36">
        <v>2500</v>
      </c>
      <c r="H142" s="36">
        <v>1047</v>
      </c>
      <c r="I142" s="34">
        <f>(F142-'Processing costs'!C143)*100/19200</f>
        <v>15.59375</v>
      </c>
      <c r="J142" s="34">
        <f>((G142-103)-'Processing costs'!E143)*100/202700</f>
        <v>0.97681302417365568</v>
      </c>
      <c r="K142" s="34">
        <f>(G142-'Processing costs'!D143-H142*9.3%)*100/10470</f>
        <v>18.964937917860553</v>
      </c>
      <c r="L142" s="35"/>
      <c r="M142" s="36">
        <v>2940</v>
      </c>
      <c r="N142" s="36">
        <v>1254</v>
      </c>
      <c r="O142" s="36">
        <f t="shared" ref="O142:O143" si="116">F142*0.95</f>
        <v>3163.5</v>
      </c>
      <c r="P142" s="34">
        <f>(M142-'Processing costs'!G143)*100/8860</f>
        <v>28.37471783295711</v>
      </c>
      <c r="Q142" s="34">
        <f>(N142-'Processing costs'!H143)*100/16700</f>
        <v>4.8083832335329344</v>
      </c>
      <c r="R142" s="34">
        <f>(O142-'Processing costs'!I143)*100/211000</f>
        <v>1.3400473933649288</v>
      </c>
    </row>
    <row r="143" spans="1:45" x14ac:dyDescent="0.3">
      <c r="A143" s="95"/>
      <c r="B143" s="42">
        <v>46174</v>
      </c>
      <c r="C143" s="37">
        <f>I143+J143+K143</f>
        <v>32.928994832888762</v>
      </c>
      <c r="D143" s="37">
        <f>P143+Q143+R143</f>
        <v>33.768592448259575</v>
      </c>
      <c r="E143" s="35"/>
      <c r="F143" s="38">
        <v>3240</v>
      </c>
      <c r="G143" s="38">
        <v>2290</v>
      </c>
      <c r="H143" s="38">
        <v>1079</v>
      </c>
      <c r="I143" s="37">
        <f>(F143-'Processing costs'!C144)*100/19200</f>
        <v>15.125</v>
      </c>
      <c r="J143" s="37">
        <f>((G143-103)-'Processing costs'!E144)*100/202700</f>
        <v>0.87321164282190433</v>
      </c>
      <c r="K143" s="37">
        <f>(G143-'Processing costs'!D144-H143*9.3%)*100/10470</f>
        <v>16.930783190066858</v>
      </c>
      <c r="L143" s="35"/>
      <c r="M143" s="38">
        <v>2890</v>
      </c>
      <c r="N143" s="98">
        <v>1229</v>
      </c>
      <c r="O143" s="38">
        <f t="shared" si="116"/>
        <v>3078</v>
      </c>
      <c r="P143" s="37">
        <f>(M143-'Processing costs'!G144)*100/8860</f>
        <v>27.810383747178328</v>
      </c>
      <c r="Q143" s="37">
        <f>(N143-'Processing costs'!H144)*100/16700</f>
        <v>4.658682634730539</v>
      </c>
      <c r="R143" s="37">
        <f>(O143-'Processing costs'!I144)*100/211000</f>
        <v>1.2995260663507109</v>
      </c>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s="16" customFormat="1" x14ac:dyDescent="0.3">
      <c r="B144" s="92"/>
      <c r="C144" s="93"/>
      <c r="D144" s="93"/>
      <c r="E144" s="35"/>
      <c r="F144" s="94"/>
      <c r="G144" s="94"/>
      <c r="H144" s="94"/>
      <c r="I144" s="93"/>
      <c r="J144" s="93"/>
      <c r="K144" s="93"/>
      <c r="L144" s="35"/>
      <c r="M144" s="94"/>
      <c r="N144" s="94"/>
      <c r="O144" s="94"/>
      <c r="P144" s="93"/>
      <c r="Q144" s="93"/>
      <c r="R144" s="93"/>
    </row>
    <row r="145" spans="1:45" x14ac:dyDescent="0.3">
      <c r="A145" s="95" t="s">
        <v>60</v>
      </c>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1: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1: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1:45" x14ac:dyDescent="0.3">
      <c r="B148" s="16"/>
      <c r="C148" s="97"/>
      <c r="D148" s="97"/>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1: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1: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1: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1: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1: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1: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1: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1: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1: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1: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1: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1: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t="e">
        <f>#REF!-#REF!</f>
        <v>#REF!</v>
      </c>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B231" s="16"/>
      <c r="C231" s="16"/>
      <c r="D231" s="16"/>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B232" s="16"/>
      <c r="C232" s="16"/>
      <c r="D232" s="16"/>
      <c r="E232" s="16"/>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B233" s="16"/>
      <c r="C233" s="16"/>
      <c r="D233" s="16"/>
      <c r="E233" s="16"/>
      <c r="F233" s="24"/>
      <c r="G233" s="24"/>
      <c r="H233" s="24"/>
      <c r="I233" s="24"/>
      <c r="J233" s="24"/>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B234" s="16"/>
      <c r="C234" s="16"/>
      <c r="D234" s="16"/>
      <c r="E234" s="16"/>
      <c r="F234" s="24"/>
      <c r="G234" s="24"/>
      <c r="H234" s="24"/>
      <c r="I234" s="24"/>
      <c r="J234" s="24"/>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E235" s="16"/>
      <c r="F235" s="24"/>
      <c r="G235" s="24"/>
      <c r="H235" s="24"/>
      <c r="I235" s="24"/>
      <c r="J235" s="24"/>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4"/>
      <c r="G236" s="24"/>
      <c r="H236" s="24"/>
      <c r="I236" s="24"/>
      <c r="J236" s="24"/>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4"/>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4"/>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4"/>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4"/>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F334" s="25"/>
      <c r="G334" s="25"/>
      <c r="H334" s="25"/>
      <c r="I334" s="25"/>
      <c r="J334" s="25"/>
      <c r="K334" s="25"/>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F335" s="25"/>
      <c r="G335" s="25"/>
      <c r="H335" s="25"/>
      <c r="I335" s="25"/>
      <c r="J335" s="25"/>
      <c r="K335" s="25"/>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F336" s="25"/>
      <c r="G336" s="25"/>
      <c r="H336" s="25"/>
      <c r="I336" s="25"/>
      <c r="J336" s="25"/>
      <c r="K336" s="25"/>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6:45" x14ac:dyDescent="0.3">
      <c r="F337" s="25"/>
      <c r="G337" s="25"/>
      <c r="H337" s="25"/>
      <c r="I337" s="25"/>
      <c r="J337" s="25"/>
      <c r="K337" s="25"/>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6: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6: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6: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6: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6: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6: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row r="344" spans="6:45" x14ac:dyDescent="0.3">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row>
    <row r="345" spans="6:45" x14ac:dyDescent="0.3">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row>
    <row r="346" spans="6:45" x14ac:dyDescent="0.3">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row>
    <row r="347" spans="6:45" x14ac:dyDescent="0.3">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N117 N1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43"/>
  <sheetViews>
    <sheetView zoomScaleNormal="100" workbookViewId="0">
      <pane xSplit="2" ySplit="8" topLeftCell="C136" activePane="bottomRight" state="frozen"/>
      <selection pane="topRight" activeCell="C1" sqref="C1"/>
      <selection pane="bottomLeft" activeCell="A10" sqref="A10"/>
      <selection pane="bottomRight" activeCell="D154" sqref="D154"/>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1" spans="1:4" ht="27" customHeight="1" x14ac:dyDescent="0.3"/>
    <row r="2" spans="1:4" ht="20" x14ac:dyDescent="0.4">
      <c r="A2" s="26" t="s">
        <v>36</v>
      </c>
    </row>
    <row r="3" spans="1:4" ht="15.5" x14ac:dyDescent="0.3">
      <c r="A3" s="7" t="s">
        <v>40</v>
      </c>
    </row>
    <row r="4" spans="1:4" ht="15.5" x14ac:dyDescent="0.3">
      <c r="A4" s="11" t="s">
        <v>37</v>
      </c>
    </row>
    <row r="5" spans="1:4" ht="15.5" x14ac:dyDescent="0.3">
      <c r="A5" s="100" t="s">
        <v>67</v>
      </c>
    </row>
    <row r="7" spans="1:4" ht="15.5" x14ac:dyDescent="0.3">
      <c r="B7" s="18"/>
      <c r="C7" s="107" t="s">
        <v>38</v>
      </c>
      <c r="D7" s="108"/>
    </row>
    <row r="8" spans="1:4" ht="46.5" x14ac:dyDescent="0.3">
      <c r="B8" s="18"/>
      <c r="C8" s="76" t="s">
        <v>41</v>
      </c>
      <c r="D8" s="77" t="s">
        <v>42</v>
      </c>
    </row>
    <row r="9" spans="1:4" ht="15.5" x14ac:dyDescent="0.3">
      <c r="B9" s="42">
        <v>42095</v>
      </c>
      <c r="C9" s="81">
        <v>23.583438102261695</v>
      </c>
      <c r="D9" s="37"/>
    </row>
    <row r="10" spans="1:4" ht="15.5" x14ac:dyDescent="0.3">
      <c r="B10" s="41">
        <v>42125</v>
      </c>
      <c r="C10" s="82">
        <v>23.107135021791638</v>
      </c>
      <c r="D10" s="34">
        <f>C10-C9</f>
        <v>-0.47630308047005698</v>
      </c>
    </row>
    <row r="11" spans="1:4" ht="15.5" x14ac:dyDescent="0.3">
      <c r="B11" s="42">
        <v>42156</v>
      </c>
      <c r="C11" s="81">
        <v>22.661023512168438</v>
      </c>
      <c r="D11" s="37">
        <f t="shared" ref="D11:D74" si="0">C11-C10</f>
        <v>-0.44611150962320067</v>
      </c>
    </row>
    <row r="12" spans="1:4" ht="15.5" x14ac:dyDescent="0.3">
      <c r="B12" s="41">
        <v>42186</v>
      </c>
      <c r="C12" s="82">
        <v>21.405033024348061</v>
      </c>
      <c r="D12" s="34">
        <f t="shared" si="0"/>
        <v>-1.2559904878203767</v>
      </c>
    </row>
    <row r="13" spans="1:4" ht="15.5" x14ac:dyDescent="0.3">
      <c r="B13" s="42">
        <v>42217</v>
      </c>
      <c r="C13" s="81">
        <v>19.195255581268434</v>
      </c>
      <c r="D13" s="37">
        <f t="shared" si="0"/>
        <v>-2.2097774430796271</v>
      </c>
    </row>
    <row r="14" spans="1:4" ht="15.5" x14ac:dyDescent="0.3">
      <c r="B14" s="41">
        <v>42248</v>
      </c>
      <c r="C14" s="82">
        <v>19.619037495162189</v>
      </c>
      <c r="D14" s="34">
        <f t="shared" si="0"/>
        <v>0.4237819138937553</v>
      </c>
    </row>
    <row r="15" spans="1:4" ht="15.5" x14ac:dyDescent="0.3">
      <c r="B15" s="42">
        <v>42278</v>
      </c>
      <c r="C15" s="81">
        <v>20.124609867865551</v>
      </c>
      <c r="D15" s="37">
        <f t="shared" si="0"/>
        <v>0.5055723727033623</v>
      </c>
    </row>
    <row r="16" spans="1:4" ht="15.5" x14ac:dyDescent="0.3">
      <c r="B16" s="41">
        <v>42309</v>
      </c>
      <c r="C16" s="82">
        <v>18.486262911367664</v>
      </c>
      <c r="D16" s="34">
        <f t="shared" si="0"/>
        <v>-1.6383469564978874</v>
      </c>
    </row>
    <row r="17" spans="2:4" ht="15.5" x14ac:dyDescent="0.3">
      <c r="B17" s="42">
        <v>42339</v>
      </c>
      <c r="C17" s="81">
        <v>18.352001038909002</v>
      </c>
      <c r="D17" s="37">
        <f t="shared" si="0"/>
        <v>-0.13426187245866217</v>
      </c>
    </row>
    <row r="18" spans="2:4" ht="15.5" x14ac:dyDescent="0.3">
      <c r="B18" s="41">
        <v>42370</v>
      </c>
      <c r="C18" s="82">
        <v>17.399139290732172</v>
      </c>
      <c r="D18" s="34">
        <f t="shared" si="0"/>
        <v>-0.95286174817682934</v>
      </c>
    </row>
    <row r="19" spans="2:4" ht="15.5" x14ac:dyDescent="0.3">
      <c r="B19" s="42">
        <v>42401</v>
      </c>
      <c r="C19" s="81">
        <v>17.127135604432262</v>
      </c>
      <c r="D19" s="37">
        <f t="shared" si="0"/>
        <v>-0.2720036862999109</v>
      </c>
    </row>
    <row r="20" spans="2:4" ht="15.5" x14ac:dyDescent="0.3">
      <c r="B20" s="41">
        <v>42430</v>
      </c>
      <c r="C20" s="82">
        <v>16.072860274558927</v>
      </c>
      <c r="D20" s="34">
        <f t="shared" si="0"/>
        <v>-1.0542753298733345</v>
      </c>
    </row>
    <row r="21" spans="2:4" ht="15.5" x14ac:dyDescent="0.3">
      <c r="B21" s="42">
        <v>42461</v>
      </c>
      <c r="C21" s="81">
        <v>15.663095213559561</v>
      </c>
      <c r="D21" s="37">
        <f t="shared" si="0"/>
        <v>-0.40976506099936572</v>
      </c>
    </row>
    <row r="22" spans="2:4" ht="15.5" x14ac:dyDescent="0.3">
      <c r="B22" s="41">
        <v>42491</v>
      </c>
      <c r="C22" s="82">
        <v>16.61067827316824</v>
      </c>
      <c r="D22" s="34">
        <f t="shared" si="0"/>
        <v>0.94758305960867872</v>
      </c>
    </row>
    <row r="23" spans="2:4" ht="15.5" x14ac:dyDescent="0.3">
      <c r="B23" s="42">
        <v>42522</v>
      </c>
      <c r="C23" s="81">
        <v>19.491217211027774</v>
      </c>
      <c r="D23" s="37">
        <f t="shared" si="0"/>
        <v>2.8805389378595336</v>
      </c>
    </row>
    <row r="24" spans="2:4" ht="15.5" x14ac:dyDescent="0.3">
      <c r="B24" s="41">
        <v>42552</v>
      </c>
      <c r="C24" s="82">
        <v>23.50852206430153</v>
      </c>
      <c r="D24" s="34">
        <f t="shared" si="0"/>
        <v>4.0173048532737567</v>
      </c>
    </row>
    <row r="25" spans="2:4" ht="15.5" x14ac:dyDescent="0.3">
      <c r="B25" s="42">
        <v>42583</v>
      </c>
      <c r="C25" s="81">
        <v>27.618778168032676</v>
      </c>
      <c r="D25" s="37">
        <f t="shared" si="0"/>
        <v>4.110256103731146</v>
      </c>
    </row>
    <row r="26" spans="2:4" ht="15.5" x14ac:dyDescent="0.3">
      <c r="B26" s="41">
        <v>42614</v>
      </c>
      <c r="C26" s="82">
        <v>31.613683434457585</v>
      </c>
      <c r="D26" s="34">
        <f t="shared" si="0"/>
        <v>3.9949052664249081</v>
      </c>
    </row>
    <row r="27" spans="2:4" ht="15.5" x14ac:dyDescent="0.3">
      <c r="B27" s="42">
        <v>42644</v>
      </c>
      <c r="C27" s="81">
        <v>33.41964173255608</v>
      </c>
      <c r="D27" s="37">
        <f t="shared" si="0"/>
        <v>1.8059582980984956</v>
      </c>
    </row>
    <row r="28" spans="2:4" ht="15.5" x14ac:dyDescent="0.3">
      <c r="B28" s="41">
        <v>42675</v>
      </c>
      <c r="C28" s="82">
        <v>33.238706462298026</v>
      </c>
      <c r="D28" s="34">
        <f t="shared" si="0"/>
        <v>-0.180935270258054</v>
      </c>
    </row>
    <row r="29" spans="2:4" ht="15.5" x14ac:dyDescent="0.3">
      <c r="B29" s="42">
        <v>42705</v>
      </c>
      <c r="C29" s="81">
        <v>33.023307899129314</v>
      </c>
      <c r="D29" s="37">
        <f t="shared" si="0"/>
        <v>-0.21539856316871209</v>
      </c>
    </row>
    <row r="30" spans="2:4" ht="15.5" x14ac:dyDescent="0.3">
      <c r="B30" s="41">
        <v>42736</v>
      </c>
      <c r="C30" s="82">
        <v>33.064114564195897</v>
      </c>
      <c r="D30" s="34">
        <f t="shared" si="0"/>
        <v>4.0806665066583037E-2</v>
      </c>
    </row>
    <row r="31" spans="2:4" ht="15.5" x14ac:dyDescent="0.3">
      <c r="B31" s="42">
        <v>42767</v>
      </c>
      <c r="C31" s="81">
        <v>31.473979575974866</v>
      </c>
      <c r="D31" s="37">
        <f t="shared" si="0"/>
        <v>-1.5901349882210312</v>
      </c>
    </row>
    <row r="32" spans="2:4" ht="15.5" x14ac:dyDescent="0.3">
      <c r="B32" s="41">
        <v>42795</v>
      </c>
      <c r="C32" s="82">
        <v>31.223895013619796</v>
      </c>
      <c r="D32" s="34">
        <f t="shared" si="0"/>
        <v>-0.25008456235507026</v>
      </c>
    </row>
    <row r="33" spans="2:4" ht="15.5" x14ac:dyDescent="0.3">
      <c r="B33" s="42">
        <v>42826</v>
      </c>
      <c r="C33" s="81">
        <v>30.963559182932279</v>
      </c>
      <c r="D33" s="37">
        <f t="shared" si="0"/>
        <v>-0.26033583068751653</v>
      </c>
    </row>
    <row r="34" spans="2:4" ht="15.5" x14ac:dyDescent="0.3">
      <c r="B34" s="41">
        <v>42856</v>
      </c>
      <c r="C34" s="82">
        <v>32.835124282186086</v>
      </c>
      <c r="D34" s="34">
        <f t="shared" si="0"/>
        <v>1.8715650992538073</v>
      </c>
    </row>
    <row r="35" spans="2:4" ht="15.5" x14ac:dyDescent="0.3">
      <c r="B35" s="42">
        <v>42887</v>
      </c>
      <c r="C35" s="81">
        <v>36.813611749548983</v>
      </c>
      <c r="D35" s="37">
        <f t="shared" si="0"/>
        <v>3.9784874673628963</v>
      </c>
    </row>
    <row r="36" spans="2:4" ht="15.5" x14ac:dyDescent="0.3">
      <c r="B36" s="41">
        <v>42917</v>
      </c>
      <c r="C36" s="82">
        <v>37.052557505550269</v>
      </c>
      <c r="D36" s="34">
        <f t="shared" si="0"/>
        <v>0.23894575600128576</v>
      </c>
    </row>
    <row r="37" spans="2:4" ht="15.5" x14ac:dyDescent="0.3">
      <c r="B37" s="42">
        <v>42948</v>
      </c>
      <c r="C37" s="81">
        <v>38.982239122742783</v>
      </c>
      <c r="D37" s="37">
        <f t="shared" si="0"/>
        <v>1.9296816171925144</v>
      </c>
    </row>
    <row r="38" spans="2:4" ht="15.5" x14ac:dyDescent="0.3">
      <c r="B38" s="41">
        <v>42979</v>
      </c>
      <c r="C38" s="82">
        <v>38.762557790195579</v>
      </c>
      <c r="D38" s="34">
        <f t="shared" si="0"/>
        <v>-0.21968133254720357</v>
      </c>
    </row>
    <row r="39" spans="2:4" ht="15.5" x14ac:dyDescent="0.3">
      <c r="B39" s="42">
        <v>43009</v>
      </c>
      <c r="C39" s="81">
        <v>35.830983315959593</v>
      </c>
      <c r="D39" s="37">
        <f t="shared" si="0"/>
        <v>-2.9315744742359868</v>
      </c>
    </row>
    <row r="40" spans="2:4" ht="15.5" x14ac:dyDescent="0.3">
      <c r="B40" s="41">
        <v>43040</v>
      </c>
      <c r="C40" s="82">
        <v>33.736370944665218</v>
      </c>
      <c r="D40" s="34">
        <f t="shared" si="0"/>
        <v>-2.0946123712943745</v>
      </c>
    </row>
    <row r="41" spans="2:4" ht="15.5" x14ac:dyDescent="0.3">
      <c r="B41" s="42">
        <v>43070</v>
      </c>
      <c r="C41" s="81">
        <v>30.769540374532323</v>
      </c>
      <c r="D41" s="37">
        <f t="shared" si="0"/>
        <v>-2.9668305701328954</v>
      </c>
    </row>
    <row r="42" spans="2:4" ht="15.5" x14ac:dyDescent="0.3">
      <c r="B42" s="41">
        <v>43101</v>
      </c>
      <c r="C42" s="82">
        <v>28.884515254582229</v>
      </c>
      <c r="D42" s="34">
        <f t="shared" si="0"/>
        <v>-1.8850251199500931</v>
      </c>
    </row>
    <row r="43" spans="2:4" ht="15.5" x14ac:dyDescent="0.3">
      <c r="B43" s="42">
        <v>43132</v>
      </c>
      <c r="C43" s="81">
        <v>30.418528017998895</v>
      </c>
      <c r="D43" s="37">
        <f t="shared" si="0"/>
        <v>1.5340127634166656</v>
      </c>
    </row>
    <row r="44" spans="2:4" ht="15.5" x14ac:dyDescent="0.3">
      <c r="B44" s="41">
        <v>43160</v>
      </c>
      <c r="C44" s="82">
        <v>30.17629355516646</v>
      </c>
      <c r="D44" s="34">
        <f t="shared" si="0"/>
        <v>-0.24223446283243533</v>
      </c>
    </row>
    <row r="45" spans="2:4" ht="15.5" x14ac:dyDescent="0.3">
      <c r="B45" s="42">
        <v>43191</v>
      </c>
      <c r="C45" s="81">
        <v>30.885178988235577</v>
      </c>
      <c r="D45" s="37">
        <f t="shared" si="0"/>
        <v>0.708885433069117</v>
      </c>
    </row>
    <row r="46" spans="2:4" ht="15.5" x14ac:dyDescent="0.3">
      <c r="B46" s="41">
        <v>43221</v>
      </c>
      <c r="C46" s="82">
        <v>32.477641593821765</v>
      </c>
      <c r="D46" s="34">
        <f t="shared" si="0"/>
        <v>1.5924626055861886</v>
      </c>
    </row>
    <row r="47" spans="2:4" ht="15.5" x14ac:dyDescent="0.3">
      <c r="B47" s="42">
        <v>43252</v>
      </c>
      <c r="C47" s="81">
        <v>32.864942026653239</v>
      </c>
      <c r="D47" s="37">
        <f t="shared" si="0"/>
        <v>0.38730043283147353</v>
      </c>
    </row>
    <row r="48" spans="2:4" ht="15.5" x14ac:dyDescent="0.3">
      <c r="B48" s="41">
        <v>43282</v>
      </c>
      <c r="C48" s="82">
        <v>33.055662494705061</v>
      </c>
      <c r="D48" s="34">
        <f t="shared" si="0"/>
        <v>0.19072046805182197</v>
      </c>
    </row>
    <row r="49" spans="2:4" ht="15.5" x14ac:dyDescent="0.3">
      <c r="B49" s="42">
        <v>43313</v>
      </c>
      <c r="C49" s="81">
        <v>33.530662317368495</v>
      </c>
      <c r="D49" s="37">
        <f t="shared" si="0"/>
        <v>0.47499982266343466</v>
      </c>
    </row>
    <row r="50" spans="2:4" ht="15.5" x14ac:dyDescent="0.3">
      <c r="B50" s="41">
        <v>43344</v>
      </c>
      <c r="C50" s="82">
        <v>33.273185896293505</v>
      </c>
      <c r="D50" s="34">
        <f t="shared" si="0"/>
        <v>-0.25747642107499047</v>
      </c>
    </row>
    <row r="51" spans="2:4" ht="15.5" x14ac:dyDescent="0.3">
      <c r="B51" s="42">
        <v>43374</v>
      </c>
      <c r="C51" s="81">
        <f>(0.2*'AMPE-MCVE'!C51)+(0.8*'AMPE-MCVE'!D51)</f>
        <v>32.440828444558576</v>
      </c>
      <c r="D51" s="37">
        <f t="shared" si="0"/>
        <v>-0.83235745173492859</v>
      </c>
    </row>
    <row r="52" spans="2:4" ht="15.5" x14ac:dyDescent="0.3">
      <c r="B52" s="41">
        <v>43405</v>
      </c>
      <c r="C52" s="82">
        <f>(0.2*'AMPE-MCVE'!C52)+(0.8*'AMPE-MCVE'!D52)</f>
        <v>30.850367304160251</v>
      </c>
      <c r="D52" s="34">
        <f t="shared" si="0"/>
        <v>-1.5904611403983253</v>
      </c>
    </row>
    <row r="53" spans="2:4" ht="15.5" x14ac:dyDescent="0.3">
      <c r="B53" s="42">
        <v>43435</v>
      </c>
      <c r="C53" s="81">
        <f>(0.2*'AMPE-MCVE'!C53)+(0.8*'AMPE-MCVE'!D53)</f>
        <v>30.918347659183638</v>
      </c>
      <c r="D53" s="37">
        <f t="shared" si="0"/>
        <v>6.7980355023387062E-2</v>
      </c>
    </row>
    <row r="54" spans="2:4" ht="15.5" x14ac:dyDescent="0.3">
      <c r="B54" s="41">
        <v>43466</v>
      </c>
      <c r="C54" s="82">
        <f>(0.2*'AMPE-MCVE'!C54)+(0.8*'AMPE-MCVE'!D54)</f>
        <v>31.920495325488375</v>
      </c>
      <c r="D54" s="34">
        <f t="shared" si="0"/>
        <v>1.0021476663047366</v>
      </c>
    </row>
    <row r="55" spans="2:4" ht="15.5" x14ac:dyDescent="0.3">
      <c r="B55" s="42">
        <v>43497</v>
      </c>
      <c r="C55" s="81">
        <f>(0.2*'AMPE-MCVE'!C55)+(0.8*'AMPE-MCVE'!D55)</f>
        <v>31.602637764670661</v>
      </c>
      <c r="D55" s="37">
        <f t="shared" si="0"/>
        <v>-0.3178575608177141</v>
      </c>
    </row>
    <row r="56" spans="2:4" ht="15.5" x14ac:dyDescent="0.3">
      <c r="B56" s="41">
        <v>43525</v>
      </c>
      <c r="C56" s="82">
        <f>(0.2*'AMPE-MCVE'!C56)+(0.8*'AMPE-MCVE'!D56)</f>
        <v>30.893834175591827</v>
      </c>
      <c r="D56" s="34">
        <f t="shared" si="0"/>
        <v>-0.70880358907883334</v>
      </c>
    </row>
    <row r="57" spans="2:4" ht="15.5" x14ac:dyDescent="0.3">
      <c r="B57" s="42">
        <v>43556</v>
      </c>
      <c r="C57" s="81">
        <f>(0.2*'AMPE-MCVE'!C57)+(0.8*'AMPE-MCVE'!D57)</f>
        <v>30.598870523516762</v>
      </c>
      <c r="D57" s="37">
        <f t="shared" si="0"/>
        <v>-0.29496365207506514</v>
      </c>
    </row>
    <row r="58" spans="2:4" ht="15.5" x14ac:dyDescent="0.3">
      <c r="B58" s="41">
        <v>43586</v>
      </c>
      <c r="C58" s="82">
        <f>(0.2*'AMPE-MCVE'!C58)+(0.8*'AMPE-MCVE'!D58)</f>
        <v>30.649946363172511</v>
      </c>
      <c r="D58" s="34">
        <f t="shared" si="0"/>
        <v>5.1075839655748467E-2</v>
      </c>
    </row>
    <row r="59" spans="2:4" ht="15.5" x14ac:dyDescent="0.3">
      <c r="B59" s="42">
        <v>43617</v>
      </c>
      <c r="C59" s="81">
        <f>(0.2*'AMPE-MCVE'!C59)+(0.8*'AMPE-MCVE'!D59)</f>
        <v>30.56524209265784</v>
      </c>
      <c r="D59" s="37">
        <f t="shared" si="0"/>
        <v>-8.4704270514670554E-2</v>
      </c>
    </row>
    <row r="60" spans="2:4" ht="15.5" x14ac:dyDescent="0.3">
      <c r="B60" s="41">
        <v>43647</v>
      </c>
      <c r="C60" s="82">
        <f>(0.2*'AMPE-MCVE'!C60)+(0.8*'AMPE-MCVE'!D60)</f>
        <v>30.175663996839766</v>
      </c>
      <c r="D60" s="34">
        <f t="shared" si="0"/>
        <v>-0.38957809581807368</v>
      </c>
    </row>
    <row r="61" spans="2:4" ht="15.5" x14ac:dyDescent="0.3">
      <c r="B61" s="42">
        <v>43678</v>
      </c>
      <c r="C61" s="81">
        <f>(0.2*'AMPE-MCVE'!C61)+(0.8*'AMPE-MCVE'!D61)</f>
        <v>30.05332966715725</v>
      </c>
      <c r="D61" s="37">
        <f t="shared" si="0"/>
        <v>-0.12233432968251634</v>
      </c>
    </row>
    <row r="62" spans="2:4" ht="15.5" x14ac:dyDescent="0.3">
      <c r="B62" s="41">
        <v>43709</v>
      </c>
      <c r="C62" s="82">
        <f>(0.2*'AMPE-MCVE'!C62)+(0.8*'AMPE-MCVE'!D62)</f>
        <v>30.460658990248312</v>
      </c>
      <c r="D62" s="34">
        <f t="shared" si="0"/>
        <v>0.40732932309106218</v>
      </c>
    </row>
    <row r="63" spans="2:4" ht="15.5" x14ac:dyDescent="0.3">
      <c r="B63" s="42">
        <v>43739</v>
      </c>
      <c r="C63" s="81">
        <f>(0.2*'AMPE-MCVE'!C63)+(0.8*'AMPE-MCVE'!D63)</f>
        <v>30.710755088101219</v>
      </c>
      <c r="D63" s="37">
        <f t="shared" si="0"/>
        <v>0.25009609785290721</v>
      </c>
    </row>
    <row r="64" spans="2:4" ht="15.5" x14ac:dyDescent="0.3">
      <c r="B64" s="41">
        <v>43770</v>
      </c>
      <c r="C64" s="82">
        <f>(0.2*'AMPE-MCVE'!C64)+(0.8*'AMPE-MCVE'!D64)</f>
        <v>30.991530023456932</v>
      </c>
      <c r="D64" s="34">
        <f t="shared" si="0"/>
        <v>0.28077493535571207</v>
      </c>
    </row>
    <row r="65" spans="2:4" ht="15.5" x14ac:dyDescent="0.3">
      <c r="B65" s="42">
        <v>43800</v>
      </c>
      <c r="C65" s="81">
        <f>(0.2*'AMPE-MCVE'!C65)+(0.8*'AMPE-MCVE'!D65)</f>
        <v>30.968154145441972</v>
      </c>
      <c r="D65" s="37">
        <f t="shared" si="0"/>
        <v>-2.3375878014959994E-2</v>
      </c>
    </row>
    <row r="66" spans="2:4" ht="15.5" x14ac:dyDescent="0.3">
      <c r="B66" s="41">
        <v>43831</v>
      </c>
      <c r="C66" s="82">
        <f>(0.2*'AMPE-MCVE'!C66)+(0.8*'AMPE-MCVE'!D66)</f>
        <v>31.052912894439693</v>
      </c>
      <c r="D66" s="34">
        <f t="shared" si="0"/>
        <v>8.4758748997721511E-2</v>
      </c>
    </row>
    <row r="67" spans="2:4" ht="15.5" x14ac:dyDescent="0.3">
      <c r="B67" s="42">
        <v>43862</v>
      </c>
      <c r="C67" s="81">
        <f>(0.2*'AMPE-MCVE'!C67)+(0.8*'AMPE-MCVE'!D67)</f>
        <v>31.130556308522159</v>
      </c>
      <c r="D67" s="37">
        <f t="shared" si="0"/>
        <v>7.7643414082466222E-2</v>
      </c>
    </row>
    <row r="68" spans="2:4" ht="15.5" x14ac:dyDescent="0.3">
      <c r="B68" s="41">
        <v>43891</v>
      </c>
      <c r="C68" s="82">
        <f>(0.2*'AMPE-MCVE'!C68)+(0.8*'AMPE-MCVE'!D68)</f>
        <v>31.077017480591913</v>
      </c>
      <c r="D68" s="34">
        <f t="shared" si="0"/>
        <v>-5.3538827930246669E-2</v>
      </c>
    </row>
    <row r="69" spans="2:4" ht="15.5" x14ac:dyDescent="0.3">
      <c r="B69" s="42">
        <v>43922</v>
      </c>
      <c r="C69" s="81">
        <f>(0.2*'AMPE-MCVE'!C69)+(0.8*'AMPE-MCVE'!D69)</f>
        <v>29.303646929628744</v>
      </c>
      <c r="D69" s="37">
        <f t="shared" si="0"/>
        <v>-1.7733705509631683</v>
      </c>
    </row>
    <row r="70" spans="2:4" ht="15.5" x14ac:dyDescent="0.3">
      <c r="B70" s="41">
        <v>43952</v>
      </c>
      <c r="C70" s="82">
        <f>(0.2*'AMPE-MCVE'!C70)+(0.8*'AMPE-MCVE'!D70)</f>
        <v>29.845202219195286</v>
      </c>
      <c r="D70" s="34">
        <f t="shared" si="0"/>
        <v>0.54155528956654209</v>
      </c>
    </row>
    <row r="71" spans="2:4" ht="15.5" x14ac:dyDescent="0.3">
      <c r="B71" s="42">
        <v>43983</v>
      </c>
      <c r="C71" s="81">
        <f>(0.2*'AMPE-MCVE'!C71)+(0.8*'AMPE-MCVE'!D71)</f>
        <v>31.14187129879906</v>
      </c>
      <c r="D71" s="37">
        <f t="shared" si="0"/>
        <v>1.2966690796037739</v>
      </c>
    </row>
    <row r="72" spans="2:4" ht="15.5" x14ac:dyDescent="0.3">
      <c r="B72" s="41">
        <v>44013</v>
      </c>
      <c r="C72" s="82">
        <f>(0.2*'AMPE-MCVE'!C72)+(0.8*'AMPE-MCVE'!D72)</f>
        <v>31.062001758763813</v>
      </c>
      <c r="D72" s="34">
        <f t="shared" si="0"/>
        <v>-7.9869540035247155E-2</v>
      </c>
    </row>
    <row r="73" spans="2:4" ht="15.5" x14ac:dyDescent="0.3">
      <c r="B73" s="42">
        <v>44044</v>
      </c>
      <c r="C73" s="81">
        <f>(0.2*'AMPE-MCVE'!C73)+(0.8*'AMPE-MCVE'!D73)</f>
        <v>30.88145390791496</v>
      </c>
      <c r="D73" s="37">
        <f t="shared" si="0"/>
        <v>-0.18054785084885339</v>
      </c>
    </row>
    <row r="74" spans="2:4" ht="15.5" x14ac:dyDescent="0.3">
      <c r="B74" s="41">
        <v>44075</v>
      </c>
      <c r="C74" s="82">
        <f>(0.2*'AMPE-MCVE'!C74)+(0.8*'AMPE-MCVE'!D74)</f>
        <v>31.182226301849546</v>
      </c>
      <c r="D74" s="34">
        <f t="shared" si="0"/>
        <v>0.30077239393458655</v>
      </c>
    </row>
    <row r="75" spans="2:4" ht="15.5" x14ac:dyDescent="0.3">
      <c r="B75" s="42">
        <v>44105</v>
      </c>
      <c r="C75" s="81">
        <f>(0.2*'AMPE-MCVE'!C75)+(0.8*'AMPE-MCVE'!D75)</f>
        <v>31.259506029222027</v>
      </c>
      <c r="D75" s="37">
        <f t="shared" ref="D75:D83" si="1">C75-C74</f>
        <v>7.7279727372481233E-2</v>
      </c>
    </row>
    <row r="76" spans="2:4" ht="15.5" x14ac:dyDescent="0.3">
      <c r="B76" s="41">
        <v>44136</v>
      </c>
      <c r="C76" s="82">
        <f>(0.2*'AMPE-MCVE'!C76)+(0.8*'AMPE-MCVE'!D76)</f>
        <v>31.073794068866881</v>
      </c>
      <c r="D76" s="34">
        <f t="shared" si="1"/>
        <v>-0.18571196035514603</v>
      </c>
    </row>
    <row r="77" spans="2:4" ht="15.5" x14ac:dyDescent="0.3">
      <c r="B77" s="42">
        <v>44166</v>
      </c>
      <c r="C77" s="81">
        <f>(0.2*'AMPE-MCVE'!C77)+(0.8*'AMPE-MCVE'!D77)</f>
        <v>31.360872763083314</v>
      </c>
      <c r="D77" s="37">
        <f t="shared" si="1"/>
        <v>0.28707869421643295</v>
      </c>
    </row>
    <row r="78" spans="2:4" ht="15.5" x14ac:dyDescent="0.3">
      <c r="B78" s="41">
        <v>44197</v>
      </c>
      <c r="C78" s="82">
        <f>(0.2*'AMPE-MCVE'!C78)+(0.8*'AMPE-MCVE'!D78)</f>
        <v>31.675223147156341</v>
      </c>
      <c r="D78" s="34">
        <f t="shared" si="1"/>
        <v>0.31435038407302685</v>
      </c>
    </row>
    <row r="79" spans="2:4" ht="15.5" x14ac:dyDescent="0.3">
      <c r="B79" s="42">
        <v>44228</v>
      </c>
      <c r="C79" s="81">
        <f>(0.2*'AMPE-MCVE'!C79)+(0.8*'AMPE-MCVE'!D79)</f>
        <v>32.144983661440051</v>
      </c>
      <c r="D79" s="37">
        <f t="shared" si="1"/>
        <v>0.4697605142837098</v>
      </c>
    </row>
    <row r="80" spans="2:4" ht="15.5" x14ac:dyDescent="0.3">
      <c r="B80" s="41">
        <v>44256</v>
      </c>
      <c r="C80" s="82">
        <f>(0.2*'AMPE-MCVE'!C80)+(0.8*'AMPE-MCVE'!D80)</f>
        <v>32.876394833039626</v>
      </c>
      <c r="D80" s="34">
        <f t="shared" si="1"/>
        <v>0.73141117159957503</v>
      </c>
    </row>
    <row r="81" spans="2:4" ht="15.5" x14ac:dyDescent="0.3">
      <c r="B81" s="42">
        <v>44287</v>
      </c>
      <c r="C81" s="81">
        <f>(0.2*'AMPE-MCVE'!C81)+(0.8*'AMPE-MCVE'!D81)</f>
        <v>33.396052186277636</v>
      </c>
      <c r="D81" s="37">
        <f t="shared" si="1"/>
        <v>0.51965735323800999</v>
      </c>
    </row>
    <row r="82" spans="2:4" ht="15.5" x14ac:dyDescent="0.3">
      <c r="B82" s="41">
        <v>44317</v>
      </c>
      <c r="C82" s="82">
        <f>(0.2*'AMPE-MCVE'!C82)+(0.8*'AMPE-MCVE'!D82)</f>
        <v>33.528315721847541</v>
      </c>
      <c r="D82" s="34">
        <f t="shared" si="1"/>
        <v>0.13226353556990489</v>
      </c>
    </row>
    <row r="83" spans="2:4" ht="15.5" x14ac:dyDescent="0.3">
      <c r="B83" s="42">
        <v>44348</v>
      </c>
      <c r="C83" s="81">
        <f>(0.2*'AMPE-MCVE'!C83)+(0.8*'AMPE-MCVE'!D83)</f>
        <v>33.389072224759403</v>
      </c>
      <c r="D83" s="37">
        <f t="shared" si="1"/>
        <v>-0.13924349708813821</v>
      </c>
    </row>
    <row r="84" spans="2:4" ht="15.5" x14ac:dyDescent="0.3">
      <c r="B84" s="41">
        <v>44378</v>
      </c>
      <c r="C84" s="82">
        <f>(0.2*'AMPE-MCVE'!C84)+(0.8*'AMPE-MCVE'!D84)</f>
        <v>33.059415895826255</v>
      </c>
      <c r="D84" s="34">
        <f t="shared" ref="D84:D85" si="2">C84-C83</f>
        <v>-0.32965632893314734</v>
      </c>
    </row>
    <row r="85" spans="2:4" ht="15.5" x14ac:dyDescent="0.3">
      <c r="B85" s="42">
        <v>44409</v>
      </c>
      <c r="C85" s="81">
        <f>(0.2*'AMPE-MCVE'!C85)+(0.8*'AMPE-MCVE'!D85)</f>
        <v>33.183974331896216</v>
      </c>
      <c r="D85" s="37">
        <f t="shared" si="2"/>
        <v>0.12455843606996098</v>
      </c>
    </row>
    <row r="86" spans="2:4" ht="15.5" x14ac:dyDescent="0.3">
      <c r="B86" s="41">
        <v>44440</v>
      </c>
      <c r="C86" s="82">
        <f>(0.2*'AMPE-MCVE'!C86)+(0.8*'AMPE-MCVE'!D86)</f>
        <v>34.312764793332754</v>
      </c>
      <c r="D86" s="34">
        <f t="shared" ref="D86:D87" si="3">C86-C85</f>
        <v>1.1287904614365374</v>
      </c>
    </row>
    <row r="87" spans="2:4" ht="15.5" x14ac:dyDescent="0.3">
      <c r="B87" s="42">
        <v>44470</v>
      </c>
      <c r="C87" s="81">
        <f>(0.2*'AMPE-MCVE'!C87)+(0.8*'AMPE-MCVE'!D87)</f>
        <v>36.561886292521386</v>
      </c>
      <c r="D87" s="37">
        <f t="shared" si="3"/>
        <v>2.2491214991886324</v>
      </c>
    </row>
    <row r="88" spans="2:4" ht="15.5" x14ac:dyDescent="0.3">
      <c r="B88" s="41">
        <v>44501</v>
      </c>
      <c r="C88" s="82">
        <f>(0.2*'AMPE-MCVE'!C88)+(0.8*'AMPE-MCVE'!D88)</f>
        <v>39.831340610770567</v>
      </c>
      <c r="D88" s="34">
        <f t="shared" ref="D88:D89" si="4">C88-C87</f>
        <v>3.2694543182491813</v>
      </c>
    </row>
    <row r="89" spans="2:4" ht="15.5" x14ac:dyDescent="0.3">
      <c r="B89" s="42">
        <v>44531</v>
      </c>
      <c r="C89" s="81">
        <f>(0.2*'AMPE-MCVE'!C89)+(0.8*'AMPE-MCVE'!D89)</f>
        <v>41.727454314998589</v>
      </c>
      <c r="D89" s="37">
        <f t="shared" si="4"/>
        <v>1.8961137042280214</v>
      </c>
    </row>
    <row r="90" spans="2:4" ht="15.5" x14ac:dyDescent="0.3">
      <c r="B90" s="41">
        <v>44562</v>
      </c>
      <c r="C90" s="82">
        <f>(0.2*'AMPE-MCVE'!C90)+(0.8*'AMPE-MCVE'!D90)</f>
        <v>43.960245217731497</v>
      </c>
      <c r="D90" s="34">
        <f t="shared" ref="D90:D91" si="5">C90-C89</f>
        <v>2.2327909027329085</v>
      </c>
    </row>
    <row r="91" spans="2:4" ht="15.5" x14ac:dyDescent="0.3">
      <c r="B91" s="42">
        <v>44593</v>
      </c>
      <c r="C91" s="81">
        <f>(0.2*'AMPE-MCVE'!C91)+(0.8*'AMPE-MCVE'!D91)</f>
        <v>46.421837104537794</v>
      </c>
      <c r="D91" s="37">
        <f t="shared" si="5"/>
        <v>2.4615918868062963</v>
      </c>
    </row>
    <row r="92" spans="2:4" ht="15.5" x14ac:dyDescent="0.3">
      <c r="B92" s="41">
        <v>44621</v>
      </c>
      <c r="C92" s="82">
        <f>(0.2*'AMPE-MCVE'!C92)+(0.8*'AMPE-MCVE'!D92)</f>
        <v>50.853702394709387</v>
      </c>
      <c r="D92" s="34">
        <f t="shared" ref="D92:D93" si="6">C92-C91</f>
        <v>4.4318652901715936</v>
      </c>
    </row>
    <row r="93" spans="2:4" ht="15.5" x14ac:dyDescent="0.3">
      <c r="B93" s="42">
        <v>44652</v>
      </c>
      <c r="C93" s="81">
        <f>(0.2*'AMPE-MCVE'!C93)+(0.8*'AMPE-MCVE'!D93)</f>
        <v>52.84639797685886</v>
      </c>
      <c r="D93" s="37">
        <f t="shared" si="6"/>
        <v>1.992695582149473</v>
      </c>
    </row>
    <row r="94" spans="2:4" ht="15.5" x14ac:dyDescent="0.3">
      <c r="B94" s="41">
        <v>44682</v>
      </c>
      <c r="C94" s="82">
        <f>(0.2*'AMPE-MCVE'!C94)+(0.8*'AMPE-MCVE'!D94)</f>
        <v>53.534513896285738</v>
      </c>
      <c r="D94" s="34">
        <f t="shared" ref="D94:D95" si="7">C94-C93</f>
        <v>0.68811591942687755</v>
      </c>
    </row>
    <row r="95" spans="2:4" ht="15.5" x14ac:dyDescent="0.3">
      <c r="B95" s="42">
        <v>44713</v>
      </c>
      <c r="C95" s="81">
        <f>(0.2*'AMPE-MCVE'!C95)+(0.8*'AMPE-MCVE'!D95)</f>
        <v>54.561490760262572</v>
      </c>
      <c r="D95" s="37">
        <f t="shared" si="7"/>
        <v>1.0269768639768344</v>
      </c>
    </row>
    <row r="96" spans="2:4" ht="15.5" x14ac:dyDescent="0.3">
      <c r="B96" s="41">
        <v>44743</v>
      </c>
      <c r="C96" s="82">
        <f>(0.2*'AMPE-MCVE'!C96)+(0.8*'AMPE-MCVE'!D96)</f>
        <v>53.353909058812761</v>
      </c>
      <c r="D96" s="34">
        <f t="shared" ref="D96:D97" si="8">C96-C95</f>
        <v>-1.2075817014498114</v>
      </c>
    </row>
    <row r="97" spans="2:4" ht="15.5" x14ac:dyDescent="0.3">
      <c r="B97" s="42">
        <v>44774</v>
      </c>
      <c r="C97" s="81">
        <f>(0.2*'AMPE-MCVE'!C97)+(0.8*'AMPE-MCVE'!D97)</f>
        <v>51.910331491496237</v>
      </c>
      <c r="D97" s="37">
        <f t="shared" si="8"/>
        <v>-1.4435775673165239</v>
      </c>
    </row>
    <row r="98" spans="2:4" ht="15.5" x14ac:dyDescent="0.3">
      <c r="B98" s="41">
        <v>44805</v>
      </c>
      <c r="C98" s="82">
        <f>(0.2*'AMPE-MCVE'!C98)+(0.8*'AMPE-MCVE'!D98)</f>
        <v>53.76184384319258</v>
      </c>
      <c r="D98" s="34">
        <f t="shared" ref="D98:D99" si="9">C98-C97</f>
        <v>1.8515123516963428</v>
      </c>
    </row>
    <row r="99" spans="2:4" ht="15.5" x14ac:dyDescent="0.3">
      <c r="B99" s="42">
        <v>44835</v>
      </c>
      <c r="C99" s="81">
        <f>(0.2*'AMPE-MCVE'!C99)+(0.8*'AMPE-MCVE'!D99)</f>
        <v>53.416328851564096</v>
      </c>
      <c r="D99" s="37">
        <f t="shared" si="9"/>
        <v>-0.34551499162848387</v>
      </c>
    </row>
    <row r="100" spans="2:4" ht="15.5" x14ac:dyDescent="0.3">
      <c r="B100" s="41">
        <v>44866</v>
      </c>
      <c r="C100" s="82">
        <f>(0.2*'AMPE-MCVE'!C100)+(0.8*'AMPE-MCVE'!D100)</f>
        <v>50.773135548861134</v>
      </c>
      <c r="D100" s="34">
        <f t="shared" ref="D100:D101" si="10">C100-C99</f>
        <v>-2.6431933027029615</v>
      </c>
    </row>
    <row r="101" spans="2:4" ht="15.5" x14ac:dyDescent="0.3">
      <c r="B101" s="42">
        <v>44896</v>
      </c>
      <c r="C101" s="81">
        <f>(0.2*'AMPE-MCVE'!C101)+(0.8*'AMPE-MCVE'!D101)</f>
        <v>46.204476202736473</v>
      </c>
      <c r="D101" s="37">
        <f t="shared" si="10"/>
        <v>-4.5686593461246616</v>
      </c>
    </row>
    <row r="102" spans="2:4" ht="15.5" x14ac:dyDescent="0.3">
      <c r="B102" s="41">
        <v>44927</v>
      </c>
      <c r="C102" s="82">
        <f>(0.2*'AMPE-MCVE'!C102)+(0.8*'AMPE-MCVE'!D102)</f>
        <v>42.581196321458904</v>
      </c>
      <c r="D102" s="34">
        <f>C102-C101</f>
        <v>-3.6232798812775684</v>
      </c>
    </row>
    <row r="103" spans="2:4" ht="15.5" x14ac:dyDescent="0.3">
      <c r="B103" s="42">
        <v>44958</v>
      </c>
      <c r="C103" s="81">
        <f>(0.2*'AMPE-MCVE'!C103)+(0.8*'AMPE-MCVE'!D103)</f>
        <v>37.298572427693131</v>
      </c>
      <c r="D103" s="37">
        <f t="shared" ref="D103" si="11">C103-C102</f>
        <v>-5.2826238937657735</v>
      </c>
    </row>
    <row r="104" spans="2:4" ht="15.5" x14ac:dyDescent="0.3">
      <c r="B104" s="41">
        <v>44986</v>
      </c>
      <c r="C104" s="82">
        <f>(0.2*'AMPE-MCVE'!C104)+(0.8*'AMPE-MCVE'!D104)</f>
        <v>37.375911444501924</v>
      </c>
      <c r="D104" s="34">
        <f>C104-C103</f>
        <v>7.7339016808792849E-2</v>
      </c>
    </row>
    <row r="105" spans="2:4" ht="15.5" x14ac:dyDescent="0.3">
      <c r="B105" s="42">
        <v>45017</v>
      </c>
      <c r="C105" s="81">
        <f>(0.2*'AMPE-MCVE'!C105)+(0.8*'AMPE-MCVE'!D105)</f>
        <v>35.499269168682375</v>
      </c>
      <c r="D105" s="37">
        <f t="shared" ref="D105" si="12">C105-C104</f>
        <v>-1.8766422758195489</v>
      </c>
    </row>
    <row r="106" spans="2:4" ht="15.5" x14ac:dyDescent="0.3">
      <c r="B106" s="41">
        <v>45047</v>
      </c>
      <c r="C106" s="82">
        <f>(0.2*'AMPE-MCVE'!C106)+(0.8*'AMPE-MCVE'!D106)</f>
        <v>35.402103847938385</v>
      </c>
      <c r="D106" s="34">
        <f t="shared" ref="D106:D107" si="13">C106-C105</f>
        <v>-9.716532074398998E-2</v>
      </c>
    </row>
    <row r="107" spans="2:4" ht="15.5" x14ac:dyDescent="0.3">
      <c r="B107" s="42">
        <v>45078</v>
      </c>
      <c r="C107" s="81">
        <f>(0.2*'AMPE-MCVE'!C107)+(0.8*'AMPE-MCVE'!D107)</f>
        <v>35.584304536242875</v>
      </c>
      <c r="D107" s="37">
        <f t="shared" si="13"/>
        <v>0.18220068830449065</v>
      </c>
    </row>
    <row r="108" spans="2:4" ht="15.5" x14ac:dyDescent="0.3">
      <c r="B108" s="41">
        <v>45108</v>
      </c>
      <c r="C108" s="82">
        <f>(0.2*'AMPE-MCVE'!C108)+(0.8*'AMPE-MCVE'!D108)</f>
        <v>33.615188094895785</v>
      </c>
      <c r="D108" s="34">
        <f t="shared" ref="D108:D109" si="14">C108-C107</f>
        <v>-1.9691164413470901</v>
      </c>
    </row>
    <row r="109" spans="2:4" ht="15.5" x14ac:dyDescent="0.3">
      <c r="B109" s="42">
        <v>45139</v>
      </c>
      <c r="C109" s="81">
        <f>(0.2*'AMPE-MCVE'!C109)+(0.8*'AMPE-MCVE'!D109)</f>
        <v>32.03931248995022</v>
      </c>
      <c r="D109" s="37">
        <f t="shared" si="14"/>
        <v>-1.5758756049455656</v>
      </c>
    </row>
    <row r="110" spans="2:4" ht="15.5" x14ac:dyDescent="0.3">
      <c r="B110" s="41">
        <v>45170</v>
      </c>
      <c r="C110" s="82">
        <f>(0.2*'AMPE-MCVE'!C110)+(0.8*'AMPE-MCVE'!D110)</f>
        <v>31.496373712768879</v>
      </c>
      <c r="D110" s="34">
        <f>C110-C109</f>
        <v>-0.54293877718134098</v>
      </c>
    </row>
    <row r="111" spans="2:4" ht="15.5" x14ac:dyDescent="0.3">
      <c r="B111" s="42">
        <v>45200</v>
      </c>
      <c r="C111" s="81">
        <f>(0.2*'AMPE-MCVE'!C111)+(0.8*'AMPE-MCVE'!D111)</f>
        <v>33.530844264738526</v>
      </c>
      <c r="D111" s="37">
        <f t="shared" ref="D111" si="15">C111-C110</f>
        <v>2.0344705519696475</v>
      </c>
    </row>
    <row r="112" spans="2:4" ht="15.5" x14ac:dyDescent="0.3">
      <c r="B112" s="41">
        <v>45231</v>
      </c>
      <c r="C112" s="82">
        <f>(0.2*'AMPE-MCVE'!C112)+(0.8*'AMPE-MCVE'!D112)</f>
        <v>35.667034429797496</v>
      </c>
      <c r="D112" s="34">
        <f>C112-C111</f>
        <v>2.1361901650589701</v>
      </c>
    </row>
    <row r="113" spans="2:4" ht="15.5" x14ac:dyDescent="0.3">
      <c r="B113" s="42">
        <v>45261</v>
      </c>
      <c r="C113" s="81">
        <f>(0.2*'AMPE-MCVE'!C113)+(0.8*'AMPE-MCVE'!D113)</f>
        <v>36.81980592945645</v>
      </c>
      <c r="D113" s="37">
        <f t="shared" ref="D113" si="16">C113-C112</f>
        <v>1.1527714996589538</v>
      </c>
    </row>
    <row r="114" spans="2:4" ht="15.5" x14ac:dyDescent="0.3">
      <c r="B114" s="41">
        <v>45292</v>
      </c>
      <c r="C114" s="82">
        <f>(0.2*'AMPE-MCVE'!C114)+(0.8*'AMPE-MCVE'!D114)</f>
        <v>37.579870023570415</v>
      </c>
      <c r="D114" s="34">
        <f>C114-C113</f>
        <v>0.76006409411396447</v>
      </c>
    </row>
    <row r="115" spans="2:4" ht="15.5" x14ac:dyDescent="0.3">
      <c r="B115" s="42">
        <v>45323</v>
      </c>
      <c r="C115" s="81">
        <f>(0.2*'AMPE-MCVE'!C115)+(0.8*'AMPE-MCVE'!D115)</f>
        <v>36.973413347534304</v>
      </c>
      <c r="D115" s="37">
        <f t="shared" ref="D115" si="17">C115-C114</f>
        <v>-0.60645667603611031</v>
      </c>
    </row>
    <row r="116" spans="2:4" ht="15.5" x14ac:dyDescent="0.3">
      <c r="B116" s="41">
        <v>45352</v>
      </c>
      <c r="C116" s="82">
        <f>(0.2*'AMPE-MCVE'!C116)+(0.8*'AMPE-MCVE'!D116)</f>
        <v>36.349464285446331</v>
      </c>
      <c r="D116" s="34">
        <f t="shared" ref="D116:D122" si="18">C116-C115</f>
        <v>-0.62394906208797352</v>
      </c>
    </row>
    <row r="117" spans="2:4" ht="15.5" x14ac:dyDescent="0.3">
      <c r="B117" s="42">
        <v>45383</v>
      </c>
      <c r="C117" s="81">
        <f>(0.2*'AMPE-MCVE'!C117)+(0.8*'AMPE-MCVE'!D117)</f>
        <v>35.682998771983478</v>
      </c>
      <c r="D117" s="37">
        <f t="shared" si="18"/>
        <v>-0.66646551346285321</v>
      </c>
    </row>
    <row r="118" spans="2:4" ht="15.5" x14ac:dyDescent="0.3">
      <c r="B118" s="41">
        <v>45413</v>
      </c>
      <c r="C118" s="82">
        <f>(0.2*'AMPE-MCVE'!C118)+(0.8*'AMPE-MCVE'!D118)</f>
        <v>36.538642873957642</v>
      </c>
      <c r="D118" s="34">
        <f t="shared" si="18"/>
        <v>0.85564410197416407</v>
      </c>
    </row>
    <row r="119" spans="2:4" ht="15.5" x14ac:dyDescent="0.3">
      <c r="B119" s="42">
        <v>45444</v>
      </c>
      <c r="C119" s="81">
        <f>(0.2*'AMPE-MCVE'!C119)+(0.8*'AMPE-MCVE'!D119)</f>
        <v>38.65149442735521</v>
      </c>
      <c r="D119" s="37">
        <f t="shared" si="18"/>
        <v>2.1128515533975687</v>
      </c>
    </row>
    <row r="120" spans="2:4" ht="15.5" x14ac:dyDescent="0.3">
      <c r="B120" s="41">
        <v>45474</v>
      </c>
      <c r="C120" s="82">
        <f>(0.2*'AMPE-MCVE'!C120)+(0.8*'AMPE-MCVE'!D120)</f>
        <v>39.819190301524969</v>
      </c>
      <c r="D120" s="34">
        <f t="shared" si="18"/>
        <v>1.167695874169759</v>
      </c>
    </row>
    <row r="121" spans="2:4" ht="15.5" x14ac:dyDescent="0.3">
      <c r="B121" s="42">
        <v>45505</v>
      </c>
      <c r="C121" s="81">
        <f>(0.2*'AMPE-MCVE'!C121)+(0.8*'AMPE-MCVE'!D121)</f>
        <v>41.294244057346077</v>
      </c>
      <c r="D121" s="37">
        <f t="shared" si="18"/>
        <v>1.4750537558211079</v>
      </c>
    </row>
    <row r="122" spans="2:4" ht="15.5" x14ac:dyDescent="0.3">
      <c r="B122" s="41">
        <v>45536</v>
      </c>
      <c r="C122" s="82">
        <f>(0.2*'AMPE-MCVE'!C122)+(0.8*'AMPE-MCVE'!D122)</f>
        <v>47.428741745837328</v>
      </c>
      <c r="D122" s="34">
        <f t="shared" si="18"/>
        <v>6.1344976884912512</v>
      </c>
    </row>
    <row r="123" spans="2:4" ht="15.5" x14ac:dyDescent="0.3">
      <c r="B123" s="42">
        <v>45566</v>
      </c>
      <c r="C123" s="81">
        <f>(0.2*'AMPE-MCVE'!C123)+(0.8*'AMPE-MCVE'!D123)</f>
        <v>48.421654195938629</v>
      </c>
      <c r="D123" s="37">
        <f t="shared" ref="D123:D124" si="19">C123-C122</f>
        <v>0.99291245010130069</v>
      </c>
    </row>
    <row r="124" spans="2:4" ht="15.5" x14ac:dyDescent="0.3">
      <c r="B124" s="41">
        <v>45597</v>
      </c>
      <c r="C124" s="82">
        <f>(0.2*'AMPE-MCVE'!C124)+(0.8*'AMPE-MCVE'!D124)</f>
        <v>47.660542891862725</v>
      </c>
      <c r="D124" s="34">
        <f t="shared" si="19"/>
        <v>-0.76111130407590366</v>
      </c>
    </row>
    <row r="125" spans="2:4" ht="15.5" x14ac:dyDescent="0.3">
      <c r="B125" s="42">
        <v>45627</v>
      </c>
      <c r="C125" s="81">
        <f>(0.2*'AMPE-MCVE'!C125)+(0.8*'AMPE-MCVE'!D125)</f>
        <v>46.594281473351785</v>
      </c>
      <c r="D125" s="37">
        <f t="shared" ref="D125:D126" si="20">C125-C124</f>
        <v>-1.0662614185109405</v>
      </c>
    </row>
    <row r="126" spans="2:4" ht="15.5" x14ac:dyDescent="0.3">
      <c r="B126" s="41">
        <v>45658</v>
      </c>
      <c r="C126" s="82">
        <f>(0.2*'AMPE-MCVE'!C126)+(0.8*'AMPE-MCVE'!D126)</f>
        <v>45.386196690807608</v>
      </c>
      <c r="D126" s="34">
        <f t="shared" si="20"/>
        <v>-1.2080847825441765</v>
      </c>
    </row>
    <row r="127" spans="2:4" ht="15.5" x14ac:dyDescent="0.3">
      <c r="B127" s="42">
        <v>45689</v>
      </c>
      <c r="C127" s="81">
        <f>(0.2*'AMPE-MCVE'!C127)+(0.8*'AMPE-MCVE'!D127)</f>
        <v>44.752557750225343</v>
      </c>
      <c r="D127" s="37">
        <f t="shared" ref="D127:D128" si="21">C127-C126</f>
        <v>-0.63363894058226577</v>
      </c>
    </row>
    <row r="128" spans="2:4" ht="15.5" x14ac:dyDescent="0.3">
      <c r="B128" s="41">
        <v>45717</v>
      </c>
      <c r="C128" s="82">
        <f>(0.2*'AMPE-MCVE'!C128)+(0.8*'AMPE-MCVE'!D128)</f>
        <v>45.551045212384402</v>
      </c>
      <c r="D128" s="34">
        <f t="shared" si="21"/>
        <v>0.79848746215905919</v>
      </c>
    </row>
    <row r="129" spans="2:4" ht="15.5" x14ac:dyDescent="0.3">
      <c r="B129" s="42">
        <v>45748</v>
      </c>
      <c r="C129" s="81">
        <f>(0.2*'AMPE-MCVE'!C129)+(0.8*'AMPE-MCVE'!D129)</f>
        <v>45.499066846308835</v>
      </c>
      <c r="D129" s="37">
        <f t="shared" ref="D129:D130" si="22">C129-C128</f>
        <v>-5.1978366075566385E-2</v>
      </c>
    </row>
    <row r="130" spans="2:4" ht="15.5" x14ac:dyDescent="0.3">
      <c r="B130" s="41">
        <v>45778</v>
      </c>
      <c r="C130" s="82">
        <f>(0.2*'AMPE-MCVE'!C130)+(0.8*'AMPE-MCVE'!D130)</f>
        <v>44.711903144364079</v>
      </c>
      <c r="D130" s="34">
        <f t="shared" si="22"/>
        <v>-0.78716370194475616</v>
      </c>
    </row>
    <row r="131" spans="2:4" ht="15.5" x14ac:dyDescent="0.3">
      <c r="B131" s="42">
        <v>45809</v>
      </c>
      <c r="C131" s="81">
        <f>(0.2*'AMPE-MCVE'!C131)+(0.8*'AMPE-MCVE'!D131)</f>
        <v>44.383700369295255</v>
      </c>
      <c r="D131" s="37">
        <f t="shared" ref="D131:D132" si="23">C131-C130</f>
        <v>-0.32820277506882434</v>
      </c>
    </row>
    <row r="132" spans="2:4" ht="15.5" x14ac:dyDescent="0.3">
      <c r="B132" s="41">
        <v>45839</v>
      </c>
      <c r="C132" s="82">
        <f>(0.2*'AMPE-MCVE'!C132)+(0.8*'AMPE-MCVE'!D132)</f>
        <v>44.105344379280176</v>
      </c>
      <c r="D132" s="34">
        <f t="shared" si="23"/>
        <v>-0.27835599001507916</v>
      </c>
    </row>
    <row r="133" spans="2:4" ht="15.5" x14ac:dyDescent="0.3">
      <c r="B133" s="42">
        <v>45870</v>
      </c>
      <c r="C133" s="81">
        <f>(0.2*'AMPE-MCVE'!C133)+(0.8*'AMPE-MCVE'!D133)</f>
        <v>43.555212437363679</v>
      </c>
      <c r="D133" s="37">
        <f t="shared" ref="D133" si="24">C133-C132</f>
        <v>-0.55013194191649717</v>
      </c>
    </row>
    <row r="134" spans="2:4" ht="15.5" x14ac:dyDescent="0.3">
      <c r="B134" s="41">
        <v>45901</v>
      </c>
      <c r="C134" s="82">
        <f>(0.2*'AMPE-MCVE'!C134)+(0.8*'AMPE-MCVE'!D134)</f>
        <v>39.044986832612913</v>
      </c>
      <c r="D134" s="34">
        <f t="shared" ref="D134" si="25">C134-C133</f>
        <v>-4.5102256047507652</v>
      </c>
    </row>
    <row r="135" spans="2:4" ht="15.5" x14ac:dyDescent="0.3">
      <c r="B135" s="42">
        <v>45931</v>
      </c>
      <c r="C135" s="81">
        <f>(0.2*'AMPE-MCVE'!C135)+(0.8*'AMPE-MCVE'!D135)</f>
        <v>34.930330345391198</v>
      </c>
      <c r="D135" s="37">
        <f t="shared" ref="D135" si="26">C135-C134</f>
        <v>-4.1146564872217155</v>
      </c>
    </row>
    <row r="136" spans="2:4" ht="15.5" x14ac:dyDescent="0.3">
      <c r="B136" s="41">
        <v>45962</v>
      </c>
      <c r="C136" s="82">
        <f>(0.2*'AMPE-MCVE'!C136)+(0.8*'AMPE-MCVE'!D136)</f>
        <v>33.146264297119671</v>
      </c>
      <c r="D136" s="34">
        <f t="shared" ref="D136" si="27">C136-C135</f>
        <v>-1.7840660482715265</v>
      </c>
    </row>
    <row r="137" spans="2:4" ht="15.5" x14ac:dyDescent="0.3">
      <c r="B137" s="42">
        <v>45992</v>
      </c>
      <c r="C137" s="81">
        <f>(0.2*'AMPE-MCVE'!C137)+(0.8*'AMPE-MCVE'!D137)</f>
        <v>31.172003746906285</v>
      </c>
      <c r="D137" s="37">
        <f t="shared" ref="D137:D138" si="28">C137-C136</f>
        <v>-1.974260550213387</v>
      </c>
    </row>
    <row r="138" spans="2:4" ht="15.5" x14ac:dyDescent="0.3">
      <c r="B138" s="41">
        <v>46023</v>
      </c>
      <c r="C138" s="82">
        <f>(0.2*'AMPE-MCVE'!C138)+(0.8*'AMPE-MCVE'!D138)</f>
        <v>31.44435353288025</v>
      </c>
      <c r="D138" s="34">
        <f t="shared" si="28"/>
        <v>0.2723497859739652</v>
      </c>
    </row>
    <row r="139" spans="2:4" ht="15.5" x14ac:dyDescent="0.3">
      <c r="B139" s="42">
        <v>46054</v>
      </c>
      <c r="C139" s="81">
        <f>(0.2*'AMPE-MCVE'!C139)+(0.8*'AMPE-MCVE'!D139)</f>
        <v>32.716651937149955</v>
      </c>
      <c r="D139" s="37">
        <f t="shared" ref="D139:D140" si="29">C139-C138</f>
        <v>1.272298404269705</v>
      </c>
    </row>
    <row r="140" spans="2:4" ht="15.5" x14ac:dyDescent="0.3">
      <c r="B140" s="41">
        <v>46082</v>
      </c>
      <c r="C140" s="82">
        <f>(0.2*'AMPE-MCVE'!C140)+(0.8*'AMPE-MCVE'!D140)</f>
        <v>35.37894512141569</v>
      </c>
      <c r="D140" s="34">
        <f t="shared" si="29"/>
        <v>2.6622931842657351</v>
      </c>
    </row>
    <row r="141" spans="2:4" ht="15.5" x14ac:dyDescent="0.3">
      <c r="B141" s="42">
        <v>46113</v>
      </c>
      <c r="C141" s="81">
        <f>(0.2*'AMPE-MCVE'!C141)+(0.8*'AMPE-MCVE'!D141)</f>
        <v>34.909393588120082</v>
      </c>
      <c r="D141" s="37">
        <f t="shared" ref="D141:D142" si="30">C141-C140</f>
        <v>-0.46955153329560773</v>
      </c>
    </row>
    <row r="142" spans="2:4" ht="15.5" x14ac:dyDescent="0.3">
      <c r="B142" s="41">
        <v>46143</v>
      </c>
      <c r="C142" s="82">
        <f>(0.2*'AMPE-MCVE'!C142)+(0.8*'AMPE-MCVE'!D142)</f>
        <v>34.725618956290823</v>
      </c>
      <c r="D142" s="34">
        <f t="shared" si="30"/>
        <v>-0.18377463182925879</v>
      </c>
    </row>
    <row r="143" spans="2:4" ht="15.5" x14ac:dyDescent="0.3">
      <c r="B143" s="42">
        <v>46174</v>
      </c>
      <c r="C143" s="81">
        <f>(0.2*'AMPE-MCVE'!C143)+(0.8*'AMPE-MCVE'!D143)</f>
        <v>33.600672925185414</v>
      </c>
      <c r="D143" s="37">
        <f>C143-C142</f>
        <v>-1.1249460311054094</v>
      </c>
    </row>
  </sheetData>
  <mergeCells count="1">
    <mergeCell ref="C7:D7"/>
  </mergeCells>
  <pageMargins left="0.7" right="0.7" top="0.75" bottom="0.75" header="0.3" footer="0.3"/>
  <pageSetup paperSize="9" orientation="portrait" horizontalDpi="300" verticalDpi="300" r:id="rId1"/>
  <headerFooter>
    <oddHeader>&amp;C&amp;"Aptos"&amp;12&amp;K000000 OFFICIAL&amp;1#_x000D_</oddHeader>
  </headerFooter>
  <ignoredErrors>
    <ignoredError sqref="D52:D5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51"/>
  <sheetViews>
    <sheetView showGridLines="0" zoomScaleNormal="100" zoomScaleSheetLayoutView="143" zoomScalePageLayoutView="123" workbookViewId="0">
      <pane xSplit="2" ySplit="9" topLeftCell="C142" activePane="bottomRight" state="frozen"/>
      <selection activeCell="B107" sqref="B107"/>
      <selection pane="topRight" activeCell="B107" sqref="B107"/>
      <selection pane="bottomLeft" activeCell="B107" sqref="B107"/>
      <selection pane="bottomRight" activeCell="F150" sqref="F150"/>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48</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49</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100" t="s">
        <v>67</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s="15" customFormat="1" ht="13.5" customHeight="1" x14ac:dyDescent="0.35">
      <c r="A6" s="7"/>
      <c r="B6" s="7"/>
      <c r="C6" s="7"/>
      <c r="D6" s="7"/>
      <c r="E6" s="7"/>
      <c r="F6" s="7"/>
      <c r="G6" s="14"/>
      <c r="H6" s="9"/>
      <c r="I6" s="9"/>
      <c r="J6" s="9"/>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x14ac:dyDescent="0.3">
      <c r="A7" s="16" t="s">
        <v>35</v>
      </c>
      <c r="B7" s="16"/>
      <c r="C7" s="101" t="s">
        <v>50</v>
      </c>
      <c r="D7" s="102"/>
      <c r="E7" s="102"/>
      <c r="F7" s="16"/>
      <c r="G7" s="103" t="s">
        <v>51</v>
      </c>
      <c r="H7" s="104"/>
      <c r="I7" s="104"/>
      <c r="J7" s="9"/>
      <c r="K7" s="16"/>
      <c r="L7" s="16"/>
      <c r="M7" s="16"/>
      <c r="N7" s="16"/>
      <c r="O7" s="16"/>
      <c r="P7" s="16"/>
      <c r="Q7" s="16"/>
      <c r="R7" s="16"/>
      <c r="S7" s="16"/>
      <c r="T7" s="16"/>
      <c r="U7" s="16"/>
      <c r="V7" s="16"/>
      <c r="W7" s="16"/>
      <c r="X7" s="16"/>
      <c r="Y7" s="16"/>
      <c r="Z7" s="16"/>
      <c r="AA7" s="16"/>
      <c r="AB7" s="16"/>
      <c r="AC7" s="16"/>
      <c r="AD7" s="16"/>
      <c r="AE7" s="16"/>
      <c r="AF7" s="16"/>
      <c r="AG7" s="16"/>
      <c r="AH7" s="16"/>
      <c r="AI7" s="16"/>
      <c r="AJ7" s="16"/>
    </row>
    <row r="8" spans="1:36" ht="46.5" x14ac:dyDescent="0.3">
      <c r="B8" s="18"/>
      <c r="C8" s="19" t="s">
        <v>2</v>
      </c>
      <c r="D8" s="19" t="s">
        <v>3</v>
      </c>
      <c r="E8" s="19" t="s">
        <v>5</v>
      </c>
      <c r="G8" s="20" t="s">
        <v>7</v>
      </c>
      <c r="H8" s="20" t="s">
        <v>9</v>
      </c>
      <c r="I8" s="20" t="s">
        <v>8</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18"/>
      <c r="C9" s="21" t="s">
        <v>6</v>
      </c>
      <c r="D9" s="21" t="s">
        <v>6</v>
      </c>
      <c r="E9" s="21" t="s">
        <v>6</v>
      </c>
      <c r="F9" s="16"/>
      <c r="G9" s="21" t="s">
        <v>6</v>
      </c>
      <c r="H9" s="21" t="s">
        <v>6</v>
      </c>
      <c r="I9" s="21" t="s">
        <v>6</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2">
        <v>42095</v>
      </c>
      <c r="C10" s="38">
        <v>244</v>
      </c>
      <c r="D10" s="38">
        <v>365</v>
      </c>
      <c r="E10" s="38">
        <v>365</v>
      </c>
      <c r="F10" s="35"/>
      <c r="G10" s="38">
        <v>330</v>
      </c>
      <c r="H10" s="38">
        <v>341</v>
      </c>
      <c r="I10" s="38">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1">
        <v>42125</v>
      </c>
      <c r="C11" s="36">
        <v>244</v>
      </c>
      <c r="D11" s="36">
        <v>365</v>
      </c>
      <c r="E11" s="36">
        <v>365</v>
      </c>
      <c r="F11" s="35"/>
      <c r="G11" s="36">
        <v>330</v>
      </c>
      <c r="H11" s="36">
        <v>341</v>
      </c>
      <c r="I11" s="36">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2">
        <v>42156</v>
      </c>
      <c r="C12" s="38">
        <v>244</v>
      </c>
      <c r="D12" s="38">
        <v>365</v>
      </c>
      <c r="E12" s="38">
        <v>365</v>
      </c>
      <c r="F12" s="35"/>
      <c r="G12" s="38">
        <v>330</v>
      </c>
      <c r="H12" s="38">
        <v>341</v>
      </c>
      <c r="I12" s="38">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1">
        <v>42186</v>
      </c>
      <c r="C13" s="36">
        <v>244</v>
      </c>
      <c r="D13" s="36">
        <v>365</v>
      </c>
      <c r="E13" s="36">
        <v>365</v>
      </c>
      <c r="F13" s="35"/>
      <c r="G13" s="36">
        <v>330</v>
      </c>
      <c r="H13" s="36">
        <v>341</v>
      </c>
      <c r="I13" s="36">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2">
        <v>42217</v>
      </c>
      <c r="C14" s="38">
        <v>244</v>
      </c>
      <c r="D14" s="38">
        <v>365</v>
      </c>
      <c r="E14" s="38">
        <v>365</v>
      </c>
      <c r="F14" s="35"/>
      <c r="G14" s="38">
        <v>330</v>
      </c>
      <c r="H14" s="38">
        <v>341</v>
      </c>
      <c r="I14" s="38">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1">
        <v>42248</v>
      </c>
      <c r="C15" s="36">
        <v>244</v>
      </c>
      <c r="D15" s="36">
        <v>365</v>
      </c>
      <c r="E15" s="36">
        <v>365</v>
      </c>
      <c r="F15" s="35"/>
      <c r="G15" s="36">
        <v>330</v>
      </c>
      <c r="H15" s="36">
        <v>341</v>
      </c>
      <c r="I15" s="36">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2">
        <v>42278</v>
      </c>
      <c r="C16" s="38">
        <v>244</v>
      </c>
      <c r="D16" s="38">
        <v>365</v>
      </c>
      <c r="E16" s="38">
        <v>365</v>
      </c>
      <c r="F16" s="35"/>
      <c r="G16" s="38">
        <v>330</v>
      </c>
      <c r="H16" s="38">
        <v>341</v>
      </c>
      <c r="I16" s="38">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1">
        <v>42309</v>
      </c>
      <c r="C17" s="36">
        <v>244</v>
      </c>
      <c r="D17" s="36">
        <v>365</v>
      </c>
      <c r="E17" s="36">
        <v>365</v>
      </c>
      <c r="F17" s="35"/>
      <c r="G17" s="36">
        <v>330</v>
      </c>
      <c r="H17" s="36">
        <v>341</v>
      </c>
      <c r="I17" s="36">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2">
        <v>42339</v>
      </c>
      <c r="C18" s="38">
        <v>244</v>
      </c>
      <c r="D18" s="38">
        <v>365</v>
      </c>
      <c r="E18" s="38">
        <v>365</v>
      </c>
      <c r="F18" s="35"/>
      <c r="G18" s="38">
        <v>330</v>
      </c>
      <c r="H18" s="38">
        <v>341</v>
      </c>
      <c r="I18" s="38">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1">
        <v>42370</v>
      </c>
      <c r="C19" s="36">
        <v>244</v>
      </c>
      <c r="D19" s="36">
        <v>365</v>
      </c>
      <c r="E19" s="36">
        <v>365</v>
      </c>
      <c r="F19" s="35"/>
      <c r="G19" s="36">
        <v>330</v>
      </c>
      <c r="H19" s="36">
        <v>341</v>
      </c>
      <c r="I19" s="36">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2">
        <v>42401</v>
      </c>
      <c r="C20" s="38">
        <v>244</v>
      </c>
      <c r="D20" s="38">
        <v>365</v>
      </c>
      <c r="E20" s="38">
        <v>365</v>
      </c>
      <c r="F20" s="35"/>
      <c r="G20" s="38">
        <v>330</v>
      </c>
      <c r="H20" s="38">
        <v>341</v>
      </c>
      <c r="I20" s="38">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1">
        <v>42430</v>
      </c>
      <c r="C21" s="36">
        <v>244</v>
      </c>
      <c r="D21" s="36">
        <v>365</v>
      </c>
      <c r="E21" s="36">
        <v>365</v>
      </c>
      <c r="F21" s="35"/>
      <c r="G21" s="36">
        <v>330</v>
      </c>
      <c r="H21" s="36">
        <v>341</v>
      </c>
      <c r="I21" s="36">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2">
        <v>42461</v>
      </c>
      <c r="C22" s="38">
        <v>244</v>
      </c>
      <c r="D22" s="38">
        <v>365</v>
      </c>
      <c r="E22" s="38">
        <v>365</v>
      </c>
      <c r="F22" s="35"/>
      <c r="G22" s="38">
        <v>330</v>
      </c>
      <c r="H22" s="38">
        <v>341</v>
      </c>
      <c r="I22" s="38">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1">
        <v>42491</v>
      </c>
      <c r="C23" s="36">
        <v>244</v>
      </c>
      <c r="D23" s="36">
        <v>365</v>
      </c>
      <c r="E23" s="36">
        <v>365</v>
      </c>
      <c r="F23" s="35"/>
      <c r="G23" s="36">
        <v>330</v>
      </c>
      <c r="H23" s="36">
        <v>341</v>
      </c>
      <c r="I23" s="36">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2">
        <v>42522</v>
      </c>
      <c r="C24" s="38">
        <v>244</v>
      </c>
      <c r="D24" s="38">
        <v>365</v>
      </c>
      <c r="E24" s="38">
        <v>365</v>
      </c>
      <c r="F24" s="35"/>
      <c r="G24" s="38">
        <v>330</v>
      </c>
      <c r="H24" s="38">
        <v>341</v>
      </c>
      <c r="I24" s="38">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1">
        <v>42552</v>
      </c>
      <c r="C25" s="36">
        <v>244</v>
      </c>
      <c r="D25" s="36">
        <v>365</v>
      </c>
      <c r="E25" s="36">
        <v>365</v>
      </c>
      <c r="F25" s="35"/>
      <c r="G25" s="36">
        <v>330</v>
      </c>
      <c r="H25" s="36">
        <v>341</v>
      </c>
      <c r="I25" s="36">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2">
        <v>42583</v>
      </c>
      <c r="C26" s="38">
        <v>244</v>
      </c>
      <c r="D26" s="38">
        <v>365</v>
      </c>
      <c r="E26" s="38">
        <v>365</v>
      </c>
      <c r="F26" s="35"/>
      <c r="G26" s="38">
        <v>330</v>
      </c>
      <c r="H26" s="38">
        <v>341</v>
      </c>
      <c r="I26" s="38">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1">
        <v>42614</v>
      </c>
      <c r="C27" s="36">
        <v>244</v>
      </c>
      <c r="D27" s="36">
        <v>365</v>
      </c>
      <c r="E27" s="36">
        <v>365</v>
      </c>
      <c r="F27" s="35"/>
      <c r="G27" s="36">
        <v>330</v>
      </c>
      <c r="H27" s="36">
        <v>341</v>
      </c>
      <c r="I27" s="36">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2">
        <v>42644</v>
      </c>
      <c r="C28" s="38">
        <v>244</v>
      </c>
      <c r="D28" s="38">
        <v>365</v>
      </c>
      <c r="E28" s="38">
        <v>365</v>
      </c>
      <c r="F28" s="35"/>
      <c r="G28" s="38">
        <v>330</v>
      </c>
      <c r="H28" s="38">
        <v>341</v>
      </c>
      <c r="I28" s="38">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1">
        <v>42675</v>
      </c>
      <c r="C29" s="36">
        <v>244</v>
      </c>
      <c r="D29" s="36">
        <v>365</v>
      </c>
      <c r="E29" s="36">
        <v>365</v>
      </c>
      <c r="F29" s="35"/>
      <c r="G29" s="36">
        <v>330</v>
      </c>
      <c r="H29" s="36">
        <v>341</v>
      </c>
      <c r="I29" s="36">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2">
        <v>42705</v>
      </c>
      <c r="C30" s="38">
        <v>244</v>
      </c>
      <c r="D30" s="38">
        <v>365</v>
      </c>
      <c r="E30" s="38">
        <v>365</v>
      </c>
      <c r="F30" s="35"/>
      <c r="G30" s="38">
        <v>330</v>
      </c>
      <c r="H30" s="38">
        <v>341</v>
      </c>
      <c r="I30" s="38">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1">
        <v>42736</v>
      </c>
      <c r="C31" s="36">
        <v>244</v>
      </c>
      <c r="D31" s="36">
        <v>365</v>
      </c>
      <c r="E31" s="36">
        <v>365</v>
      </c>
      <c r="F31" s="35"/>
      <c r="G31" s="36">
        <v>330</v>
      </c>
      <c r="H31" s="36">
        <v>341</v>
      </c>
      <c r="I31" s="36">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2">
        <v>42767</v>
      </c>
      <c r="C32" s="38">
        <v>244</v>
      </c>
      <c r="D32" s="38">
        <v>365</v>
      </c>
      <c r="E32" s="38">
        <v>365</v>
      </c>
      <c r="F32" s="35"/>
      <c r="G32" s="38">
        <v>330</v>
      </c>
      <c r="H32" s="38">
        <v>341</v>
      </c>
      <c r="I32" s="38">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1">
        <v>42795</v>
      </c>
      <c r="C33" s="36">
        <v>244</v>
      </c>
      <c r="D33" s="36">
        <v>365</v>
      </c>
      <c r="E33" s="36">
        <v>365</v>
      </c>
      <c r="F33" s="35"/>
      <c r="G33" s="36">
        <v>330</v>
      </c>
      <c r="H33" s="36">
        <v>341</v>
      </c>
      <c r="I33" s="36">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2">
        <v>42826</v>
      </c>
      <c r="C34" s="38">
        <v>244</v>
      </c>
      <c r="D34" s="38">
        <v>365</v>
      </c>
      <c r="E34" s="38">
        <v>365</v>
      </c>
      <c r="F34" s="35"/>
      <c r="G34" s="38">
        <v>330</v>
      </c>
      <c r="H34" s="38">
        <v>341</v>
      </c>
      <c r="I34" s="38">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1">
        <v>42856</v>
      </c>
      <c r="C35" s="36">
        <v>244</v>
      </c>
      <c r="D35" s="36">
        <v>365</v>
      </c>
      <c r="E35" s="36">
        <v>365</v>
      </c>
      <c r="F35" s="35"/>
      <c r="G35" s="36">
        <v>330</v>
      </c>
      <c r="H35" s="36">
        <v>341</v>
      </c>
      <c r="I35" s="36">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2">
        <v>42887</v>
      </c>
      <c r="C36" s="38">
        <v>244</v>
      </c>
      <c r="D36" s="38">
        <v>365</v>
      </c>
      <c r="E36" s="38">
        <v>365</v>
      </c>
      <c r="F36" s="35"/>
      <c r="G36" s="38">
        <v>330</v>
      </c>
      <c r="H36" s="38">
        <v>341</v>
      </c>
      <c r="I36" s="38">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1">
        <v>42917</v>
      </c>
      <c r="C37" s="36">
        <v>244</v>
      </c>
      <c r="D37" s="36">
        <v>365</v>
      </c>
      <c r="E37" s="36">
        <v>365</v>
      </c>
      <c r="F37" s="35"/>
      <c r="G37" s="36">
        <v>330</v>
      </c>
      <c r="H37" s="36">
        <v>341</v>
      </c>
      <c r="I37" s="36">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2">
        <v>42948</v>
      </c>
      <c r="C38" s="38">
        <v>244</v>
      </c>
      <c r="D38" s="38">
        <v>365</v>
      </c>
      <c r="E38" s="38">
        <v>365</v>
      </c>
      <c r="F38" s="35"/>
      <c r="G38" s="38">
        <v>330</v>
      </c>
      <c r="H38" s="38">
        <v>341</v>
      </c>
      <c r="I38" s="38">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1">
        <v>42979</v>
      </c>
      <c r="C39" s="36">
        <v>244</v>
      </c>
      <c r="D39" s="36">
        <v>365</v>
      </c>
      <c r="E39" s="36">
        <v>365</v>
      </c>
      <c r="F39" s="35"/>
      <c r="G39" s="36">
        <v>330</v>
      </c>
      <c r="H39" s="36">
        <v>341</v>
      </c>
      <c r="I39" s="36">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2">
        <v>43009</v>
      </c>
      <c r="C40" s="38">
        <v>244</v>
      </c>
      <c r="D40" s="38">
        <v>365</v>
      </c>
      <c r="E40" s="38">
        <v>365</v>
      </c>
      <c r="F40" s="35"/>
      <c r="G40" s="38">
        <v>330</v>
      </c>
      <c r="H40" s="38">
        <v>341</v>
      </c>
      <c r="I40" s="38">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1">
        <v>43040</v>
      </c>
      <c r="C41" s="36">
        <v>244</v>
      </c>
      <c r="D41" s="36">
        <v>365</v>
      </c>
      <c r="E41" s="36">
        <v>365</v>
      </c>
      <c r="F41" s="35"/>
      <c r="G41" s="36">
        <v>330</v>
      </c>
      <c r="H41" s="36">
        <v>341</v>
      </c>
      <c r="I41" s="36">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2">
        <v>43070</v>
      </c>
      <c r="C42" s="38">
        <v>244</v>
      </c>
      <c r="D42" s="38">
        <v>365</v>
      </c>
      <c r="E42" s="38">
        <v>365</v>
      </c>
      <c r="F42" s="35"/>
      <c r="G42" s="38">
        <v>330</v>
      </c>
      <c r="H42" s="38">
        <v>341</v>
      </c>
      <c r="I42" s="38">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1">
        <v>43101</v>
      </c>
      <c r="C43" s="36">
        <v>244</v>
      </c>
      <c r="D43" s="36">
        <v>365</v>
      </c>
      <c r="E43" s="36">
        <v>365</v>
      </c>
      <c r="F43" s="35"/>
      <c r="G43" s="36">
        <v>330</v>
      </c>
      <c r="H43" s="36">
        <v>341</v>
      </c>
      <c r="I43" s="36">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2">
        <v>43132</v>
      </c>
      <c r="C44" s="38">
        <v>244</v>
      </c>
      <c r="D44" s="38">
        <v>365</v>
      </c>
      <c r="E44" s="38">
        <v>365</v>
      </c>
      <c r="F44" s="35"/>
      <c r="G44" s="38">
        <v>330</v>
      </c>
      <c r="H44" s="38">
        <v>341</v>
      </c>
      <c r="I44" s="38">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1">
        <v>43160</v>
      </c>
      <c r="C45" s="36">
        <v>244</v>
      </c>
      <c r="D45" s="36">
        <v>365</v>
      </c>
      <c r="E45" s="36">
        <v>365</v>
      </c>
      <c r="F45" s="35"/>
      <c r="G45" s="36">
        <v>330</v>
      </c>
      <c r="H45" s="36">
        <v>341</v>
      </c>
      <c r="I45" s="36">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2">
        <v>43191</v>
      </c>
      <c r="C46" s="38">
        <v>244</v>
      </c>
      <c r="D46" s="38">
        <v>365</v>
      </c>
      <c r="E46" s="38">
        <v>365</v>
      </c>
      <c r="F46" s="35"/>
      <c r="G46" s="38">
        <v>330</v>
      </c>
      <c r="H46" s="38">
        <v>341</v>
      </c>
      <c r="I46" s="38">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1">
        <v>43221</v>
      </c>
      <c r="C47" s="36">
        <v>244</v>
      </c>
      <c r="D47" s="36">
        <v>365</v>
      </c>
      <c r="E47" s="36">
        <v>365</v>
      </c>
      <c r="F47" s="35"/>
      <c r="G47" s="36">
        <v>330</v>
      </c>
      <c r="H47" s="36">
        <v>341</v>
      </c>
      <c r="I47" s="36">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2">
        <v>43252</v>
      </c>
      <c r="C48" s="38">
        <v>244</v>
      </c>
      <c r="D48" s="38">
        <v>365</v>
      </c>
      <c r="E48" s="38">
        <v>365</v>
      </c>
      <c r="F48" s="35"/>
      <c r="G48" s="38">
        <v>330</v>
      </c>
      <c r="H48" s="38">
        <v>341</v>
      </c>
      <c r="I48" s="38">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1">
        <v>43282</v>
      </c>
      <c r="C49" s="36">
        <v>244</v>
      </c>
      <c r="D49" s="36">
        <v>365</v>
      </c>
      <c r="E49" s="36">
        <v>365</v>
      </c>
      <c r="F49" s="35"/>
      <c r="G49" s="36">
        <v>330</v>
      </c>
      <c r="H49" s="36">
        <v>341</v>
      </c>
      <c r="I49" s="36">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2">
        <v>43313</v>
      </c>
      <c r="C50" s="38">
        <v>244</v>
      </c>
      <c r="D50" s="38">
        <v>365</v>
      </c>
      <c r="E50" s="38">
        <v>365</v>
      </c>
      <c r="F50" s="35"/>
      <c r="G50" s="38">
        <v>330</v>
      </c>
      <c r="H50" s="38">
        <v>341</v>
      </c>
      <c r="I50" s="38">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1">
        <v>43344</v>
      </c>
      <c r="C51" s="36">
        <v>244</v>
      </c>
      <c r="D51" s="36">
        <v>365</v>
      </c>
      <c r="E51" s="36">
        <v>365</v>
      </c>
      <c r="F51" s="35"/>
      <c r="G51" s="36">
        <v>330</v>
      </c>
      <c r="H51" s="36">
        <v>341</v>
      </c>
      <c r="I51" s="36">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2">
        <v>43374</v>
      </c>
      <c r="C52" s="38">
        <v>244</v>
      </c>
      <c r="D52" s="38">
        <v>365</v>
      </c>
      <c r="E52" s="38">
        <v>365</v>
      </c>
      <c r="F52" s="35"/>
      <c r="G52" s="38">
        <v>330</v>
      </c>
      <c r="H52" s="38">
        <v>341</v>
      </c>
      <c r="I52" s="38">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1">
        <v>43405</v>
      </c>
      <c r="C53" s="36">
        <v>244</v>
      </c>
      <c r="D53" s="36">
        <v>365</v>
      </c>
      <c r="E53" s="36">
        <v>365</v>
      </c>
      <c r="F53" s="35"/>
      <c r="G53" s="36">
        <v>330</v>
      </c>
      <c r="H53" s="36">
        <v>341</v>
      </c>
      <c r="I53" s="36">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2">
        <v>43435</v>
      </c>
      <c r="C54" s="38">
        <v>244</v>
      </c>
      <c r="D54" s="38">
        <v>365</v>
      </c>
      <c r="E54" s="38">
        <v>365</v>
      </c>
      <c r="F54" s="35"/>
      <c r="G54" s="38">
        <v>330</v>
      </c>
      <c r="H54" s="38">
        <v>341</v>
      </c>
      <c r="I54" s="38">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1">
        <v>43466</v>
      </c>
      <c r="C55" s="36">
        <v>244</v>
      </c>
      <c r="D55" s="36">
        <v>365</v>
      </c>
      <c r="E55" s="36">
        <v>365</v>
      </c>
      <c r="F55" s="35"/>
      <c r="G55" s="36">
        <v>330</v>
      </c>
      <c r="H55" s="36">
        <v>341</v>
      </c>
      <c r="I55" s="36">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2">
        <v>43497</v>
      </c>
      <c r="C56" s="38">
        <v>244</v>
      </c>
      <c r="D56" s="38">
        <v>365</v>
      </c>
      <c r="E56" s="38">
        <v>365</v>
      </c>
      <c r="F56" s="35"/>
      <c r="G56" s="38">
        <v>330</v>
      </c>
      <c r="H56" s="38">
        <v>341</v>
      </c>
      <c r="I56" s="38">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1">
        <v>43525</v>
      </c>
      <c r="C57" s="36">
        <v>244</v>
      </c>
      <c r="D57" s="36">
        <v>365</v>
      </c>
      <c r="E57" s="36">
        <v>365</v>
      </c>
      <c r="F57" s="35"/>
      <c r="G57" s="36">
        <v>330</v>
      </c>
      <c r="H57" s="36">
        <v>341</v>
      </c>
      <c r="I57" s="36">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2">
        <v>43556</v>
      </c>
      <c r="C58" s="38">
        <v>244</v>
      </c>
      <c r="D58" s="38">
        <v>365</v>
      </c>
      <c r="E58" s="38">
        <v>365</v>
      </c>
      <c r="F58" s="35"/>
      <c r="G58" s="38">
        <v>330</v>
      </c>
      <c r="H58" s="38">
        <v>341</v>
      </c>
      <c r="I58" s="38">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1">
        <v>43586</v>
      </c>
      <c r="C59" s="36">
        <v>244</v>
      </c>
      <c r="D59" s="36">
        <v>365</v>
      </c>
      <c r="E59" s="36">
        <v>365</v>
      </c>
      <c r="F59" s="35"/>
      <c r="G59" s="36">
        <v>330</v>
      </c>
      <c r="H59" s="36">
        <v>341</v>
      </c>
      <c r="I59" s="36">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2">
        <v>43617</v>
      </c>
      <c r="C60" s="38">
        <v>244</v>
      </c>
      <c r="D60" s="38">
        <v>365</v>
      </c>
      <c r="E60" s="38">
        <v>365</v>
      </c>
      <c r="F60" s="35"/>
      <c r="G60" s="38">
        <v>330</v>
      </c>
      <c r="H60" s="38">
        <v>341</v>
      </c>
      <c r="I60" s="38">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1">
        <v>43647</v>
      </c>
      <c r="C61" s="36">
        <v>244</v>
      </c>
      <c r="D61" s="36">
        <v>365</v>
      </c>
      <c r="E61" s="36">
        <v>365</v>
      </c>
      <c r="F61" s="35"/>
      <c r="G61" s="36">
        <v>330</v>
      </c>
      <c r="H61" s="36">
        <v>341</v>
      </c>
      <c r="I61" s="36">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2">
        <v>43678</v>
      </c>
      <c r="C62" s="38">
        <v>244</v>
      </c>
      <c r="D62" s="38">
        <v>365</v>
      </c>
      <c r="E62" s="38">
        <v>365</v>
      </c>
      <c r="F62" s="35"/>
      <c r="G62" s="38">
        <v>330</v>
      </c>
      <c r="H62" s="38">
        <v>341</v>
      </c>
      <c r="I62" s="38">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2:36" x14ac:dyDescent="0.3">
      <c r="B63" s="41">
        <v>43709</v>
      </c>
      <c r="C63" s="36">
        <v>244</v>
      </c>
      <c r="D63" s="36">
        <v>365</v>
      </c>
      <c r="E63" s="36">
        <v>365</v>
      </c>
      <c r="F63" s="35"/>
      <c r="G63" s="36">
        <v>330</v>
      </c>
      <c r="H63" s="36">
        <v>341</v>
      </c>
      <c r="I63" s="36">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2">
        <v>43739</v>
      </c>
      <c r="C64" s="38">
        <v>244</v>
      </c>
      <c r="D64" s="38">
        <v>365</v>
      </c>
      <c r="E64" s="38">
        <v>365</v>
      </c>
      <c r="F64" s="35"/>
      <c r="G64" s="38">
        <v>330</v>
      </c>
      <c r="H64" s="38">
        <v>341</v>
      </c>
      <c r="I64" s="38">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1">
        <v>43770</v>
      </c>
      <c r="C65" s="36">
        <v>244</v>
      </c>
      <c r="D65" s="36">
        <v>365</v>
      </c>
      <c r="E65" s="36">
        <v>365</v>
      </c>
      <c r="F65" s="35"/>
      <c r="G65" s="36">
        <v>330</v>
      </c>
      <c r="H65" s="36">
        <v>341</v>
      </c>
      <c r="I65" s="36">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2">
        <v>43800</v>
      </c>
      <c r="C66" s="38">
        <v>244</v>
      </c>
      <c r="D66" s="38">
        <v>365</v>
      </c>
      <c r="E66" s="38">
        <v>365</v>
      </c>
      <c r="F66" s="35"/>
      <c r="G66" s="38">
        <v>330</v>
      </c>
      <c r="H66" s="38">
        <v>341</v>
      </c>
      <c r="I66" s="38">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1">
        <v>43831</v>
      </c>
      <c r="C67" s="36">
        <v>244</v>
      </c>
      <c r="D67" s="36">
        <v>365</v>
      </c>
      <c r="E67" s="36">
        <v>365</v>
      </c>
      <c r="F67" s="35"/>
      <c r="G67" s="36">
        <v>330</v>
      </c>
      <c r="H67" s="36">
        <v>341</v>
      </c>
      <c r="I67" s="36">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2">
        <v>43862</v>
      </c>
      <c r="C68" s="38">
        <v>244</v>
      </c>
      <c r="D68" s="38">
        <v>365</v>
      </c>
      <c r="E68" s="38">
        <v>365</v>
      </c>
      <c r="F68" s="35"/>
      <c r="G68" s="38">
        <v>330</v>
      </c>
      <c r="H68" s="38">
        <v>341</v>
      </c>
      <c r="I68" s="38">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1">
        <v>43891</v>
      </c>
      <c r="C69" s="36">
        <v>244</v>
      </c>
      <c r="D69" s="36">
        <v>365</v>
      </c>
      <c r="E69" s="36">
        <v>365</v>
      </c>
      <c r="F69" s="35"/>
      <c r="G69" s="36">
        <v>330</v>
      </c>
      <c r="H69" s="36">
        <v>341</v>
      </c>
      <c r="I69" s="36">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2">
        <v>43922</v>
      </c>
      <c r="C70" s="38">
        <v>244</v>
      </c>
      <c r="D70" s="38">
        <v>365</v>
      </c>
      <c r="E70" s="38">
        <v>365</v>
      </c>
      <c r="F70" s="35"/>
      <c r="G70" s="38">
        <v>330</v>
      </c>
      <c r="H70" s="38">
        <v>341</v>
      </c>
      <c r="I70" s="38">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1">
        <v>43952</v>
      </c>
      <c r="C71" s="36">
        <v>244</v>
      </c>
      <c r="D71" s="36">
        <v>365</v>
      </c>
      <c r="E71" s="36">
        <v>365</v>
      </c>
      <c r="F71" s="35"/>
      <c r="G71" s="36">
        <v>330</v>
      </c>
      <c r="H71" s="36">
        <v>341</v>
      </c>
      <c r="I71" s="36">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2">
        <v>43983</v>
      </c>
      <c r="C72" s="38">
        <v>244</v>
      </c>
      <c r="D72" s="38">
        <v>365</v>
      </c>
      <c r="E72" s="38">
        <v>365</v>
      </c>
      <c r="F72" s="35"/>
      <c r="G72" s="38">
        <v>330</v>
      </c>
      <c r="H72" s="38">
        <v>341</v>
      </c>
      <c r="I72" s="38">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1">
        <v>44013</v>
      </c>
      <c r="C73" s="36">
        <v>244</v>
      </c>
      <c r="D73" s="36">
        <v>365</v>
      </c>
      <c r="E73" s="36">
        <v>365</v>
      </c>
      <c r="F73" s="35"/>
      <c r="G73" s="36">
        <v>330</v>
      </c>
      <c r="H73" s="36">
        <v>341</v>
      </c>
      <c r="I73" s="36">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2">
        <v>44044</v>
      </c>
      <c r="C74" s="38">
        <v>244</v>
      </c>
      <c r="D74" s="38">
        <v>365</v>
      </c>
      <c r="E74" s="38">
        <v>365</v>
      </c>
      <c r="F74" s="35"/>
      <c r="G74" s="38">
        <v>330</v>
      </c>
      <c r="H74" s="38">
        <v>341</v>
      </c>
      <c r="I74" s="38">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1">
        <v>44075</v>
      </c>
      <c r="C75" s="36">
        <v>244</v>
      </c>
      <c r="D75" s="36">
        <v>365</v>
      </c>
      <c r="E75" s="36">
        <v>365</v>
      </c>
      <c r="F75" s="35"/>
      <c r="G75" s="36">
        <v>330</v>
      </c>
      <c r="H75" s="36">
        <v>341</v>
      </c>
      <c r="I75" s="36">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2">
        <v>44105</v>
      </c>
      <c r="C76" s="38">
        <v>244</v>
      </c>
      <c r="D76" s="38">
        <v>365</v>
      </c>
      <c r="E76" s="38">
        <v>365</v>
      </c>
      <c r="F76" s="35"/>
      <c r="G76" s="38">
        <v>330</v>
      </c>
      <c r="H76" s="38">
        <v>341</v>
      </c>
      <c r="I76" s="38">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1">
        <v>44136</v>
      </c>
      <c r="C77" s="36">
        <v>244</v>
      </c>
      <c r="D77" s="36">
        <v>365</v>
      </c>
      <c r="E77" s="36">
        <v>365</v>
      </c>
      <c r="F77" s="35"/>
      <c r="G77" s="36">
        <v>330</v>
      </c>
      <c r="H77" s="36">
        <v>341</v>
      </c>
      <c r="I77" s="36">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2">
        <v>44166</v>
      </c>
      <c r="C78" s="38">
        <v>244</v>
      </c>
      <c r="D78" s="38">
        <v>365</v>
      </c>
      <c r="E78" s="38">
        <v>365</v>
      </c>
      <c r="F78" s="35"/>
      <c r="G78" s="38">
        <v>330</v>
      </c>
      <c r="H78" s="38">
        <v>341</v>
      </c>
      <c r="I78" s="38">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1">
        <v>44197</v>
      </c>
      <c r="C79" s="36">
        <v>244</v>
      </c>
      <c r="D79" s="36">
        <v>365</v>
      </c>
      <c r="E79" s="36">
        <v>365</v>
      </c>
      <c r="F79" s="35"/>
      <c r="G79" s="36">
        <v>330</v>
      </c>
      <c r="H79" s="36">
        <v>341</v>
      </c>
      <c r="I79" s="36">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2">
        <v>44228</v>
      </c>
      <c r="C80" s="38">
        <v>244</v>
      </c>
      <c r="D80" s="38">
        <v>365</v>
      </c>
      <c r="E80" s="38">
        <v>365</v>
      </c>
      <c r="F80" s="35"/>
      <c r="G80" s="38">
        <v>330</v>
      </c>
      <c r="H80" s="38">
        <v>341</v>
      </c>
      <c r="I80" s="38">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1">
        <v>44256</v>
      </c>
      <c r="C81" s="36">
        <v>244</v>
      </c>
      <c r="D81" s="36">
        <v>365</v>
      </c>
      <c r="E81" s="36">
        <v>365</v>
      </c>
      <c r="F81" s="35"/>
      <c r="G81" s="36">
        <v>330</v>
      </c>
      <c r="H81" s="36">
        <v>341</v>
      </c>
      <c r="I81" s="36">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2">
        <v>44287</v>
      </c>
      <c r="C82" s="38">
        <v>244</v>
      </c>
      <c r="D82" s="38">
        <v>365</v>
      </c>
      <c r="E82" s="38">
        <v>365</v>
      </c>
      <c r="F82" s="35"/>
      <c r="G82" s="38">
        <v>330</v>
      </c>
      <c r="H82" s="38">
        <v>341</v>
      </c>
      <c r="I82" s="38">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1">
        <v>44317</v>
      </c>
      <c r="C83" s="36">
        <v>244</v>
      </c>
      <c r="D83" s="36">
        <v>365</v>
      </c>
      <c r="E83" s="36">
        <v>365</v>
      </c>
      <c r="F83" s="35"/>
      <c r="G83" s="36">
        <v>330</v>
      </c>
      <c r="H83" s="36">
        <v>341</v>
      </c>
      <c r="I83" s="36">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2">
        <v>44348</v>
      </c>
      <c r="C84" s="38">
        <v>244</v>
      </c>
      <c r="D84" s="38">
        <v>365</v>
      </c>
      <c r="E84" s="38">
        <v>365</v>
      </c>
      <c r="F84" s="35"/>
      <c r="G84" s="38">
        <v>330</v>
      </c>
      <c r="H84" s="38">
        <v>341</v>
      </c>
      <c r="I84" s="38">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1">
        <v>44378</v>
      </c>
      <c r="C85" s="36">
        <v>244</v>
      </c>
      <c r="D85" s="36">
        <v>365</v>
      </c>
      <c r="E85" s="36">
        <v>365</v>
      </c>
      <c r="F85" s="35"/>
      <c r="G85" s="36">
        <v>330</v>
      </c>
      <c r="H85" s="36">
        <v>341</v>
      </c>
      <c r="I85" s="36">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2">
        <v>44409</v>
      </c>
      <c r="C86" s="38">
        <v>244</v>
      </c>
      <c r="D86" s="38">
        <v>365</v>
      </c>
      <c r="E86" s="38">
        <v>365</v>
      </c>
      <c r="F86" s="35"/>
      <c r="G86" s="38">
        <v>330</v>
      </c>
      <c r="H86" s="38">
        <v>341</v>
      </c>
      <c r="I86" s="38">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1">
        <v>44440</v>
      </c>
      <c r="C87" s="36">
        <v>244</v>
      </c>
      <c r="D87" s="36">
        <v>365</v>
      </c>
      <c r="E87" s="36">
        <v>365</v>
      </c>
      <c r="F87" s="35"/>
      <c r="G87" s="36">
        <v>330</v>
      </c>
      <c r="H87" s="36">
        <v>341</v>
      </c>
      <c r="I87" s="36">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2">
        <v>44470</v>
      </c>
      <c r="C88" s="38">
        <v>244</v>
      </c>
      <c r="D88" s="38">
        <v>365</v>
      </c>
      <c r="E88" s="38">
        <v>365</v>
      </c>
      <c r="F88" s="35"/>
      <c r="G88" s="38">
        <v>330</v>
      </c>
      <c r="H88" s="38">
        <v>341</v>
      </c>
      <c r="I88" s="38">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1">
        <v>44501</v>
      </c>
      <c r="C89" s="36">
        <v>244</v>
      </c>
      <c r="D89" s="36">
        <v>365</v>
      </c>
      <c r="E89" s="36">
        <v>365</v>
      </c>
      <c r="F89" s="35"/>
      <c r="G89" s="36">
        <v>330</v>
      </c>
      <c r="H89" s="36">
        <v>341</v>
      </c>
      <c r="I89" s="36">
        <v>244</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2">
        <v>44531</v>
      </c>
      <c r="C90" s="38">
        <v>267</v>
      </c>
      <c r="D90" s="38">
        <v>401</v>
      </c>
      <c r="E90" s="38">
        <v>401</v>
      </c>
      <c r="F90" s="35"/>
      <c r="G90" s="38">
        <v>357</v>
      </c>
      <c r="H90" s="38">
        <v>374</v>
      </c>
      <c r="I90" s="38">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1">
        <v>44562</v>
      </c>
      <c r="C91" s="36">
        <v>267</v>
      </c>
      <c r="D91" s="36">
        <v>401</v>
      </c>
      <c r="E91" s="36">
        <v>401</v>
      </c>
      <c r="F91" s="35"/>
      <c r="G91" s="36">
        <v>357</v>
      </c>
      <c r="H91" s="36">
        <v>374</v>
      </c>
      <c r="I91" s="36">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2">
        <v>44593</v>
      </c>
      <c r="C92" s="38">
        <v>267</v>
      </c>
      <c r="D92" s="38">
        <v>401</v>
      </c>
      <c r="E92" s="38">
        <v>401</v>
      </c>
      <c r="F92" s="35"/>
      <c r="G92" s="38">
        <v>357</v>
      </c>
      <c r="H92" s="38">
        <v>374</v>
      </c>
      <c r="I92" s="38">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1">
        <v>44621</v>
      </c>
      <c r="C93" s="36">
        <v>267</v>
      </c>
      <c r="D93" s="36">
        <v>401</v>
      </c>
      <c r="E93" s="36">
        <v>401</v>
      </c>
      <c r="F93" s="35"/>
      <c r="G93" s="36">
        <v>357</v>
      </c>
      <c r="H93" s="36">
        <v>374</v>
      </c>
      <c r="I93" s="36">
        <v>267</v>
      </c>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2">
        <v>44652</v>
      </c>
      <c r="C94" s="38">
        <v>304</v>
      </c>
      <c r="D94" s="38">
        <v>511</v>
      </c>
      <c r="E94" s="38">
        <v>511</v>
      </c>
      <c r="F94" s="35"/>
      <c r="G94" s="38">
        <v>401</v>
      </c>
      <c r="H94" s="38">
        <v>502</v>
      </c>
      <c r="I94" s="38">
        <v>304</v>
      </c>
      <c r="J94" s="8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1">
        <v>44682</v>
      </c>
      <c r="C95" s="36">
        <v>304</v>
      </c>
      <c r="D95" s="36">
        <v>511</v>
      </c>
      <c r="E95" s="36">
        <v>511</v>
      </c>
      <c r="F95" s="35"/>
      <c r="G95" s="36">
        <v>401</v>
      </c>
      <c r="H95" s="36">
        <v>502</v>
      </c>
      <c r="I95" s="36">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2">
        <v>44713</v>
      </c>
      <c r="C96" s="38">
        <v>304</v>
      </c>
      <c r="D96" s="38">
        <v>511</v>
      </c>
      <c r="E96" s="38">
        <v>511</v>
      </c>
      <c r="F96" s="35"/>
      <c r="G96" s="38">
        <v>401</v>
      </c>
      <c r="H96" s="38">
        <v>502</v>
      </c>
      <c r="I96" s="38">
        <v>304</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1">
        <v>44743</v>
      </c>
      <c r="C97" s="36">
        <v>315</v>
      </c>
      <c r="D97" s="36">
        <v>541</v>
      </c>
      <c r="E97" s="36">
        <v>541</v>
      </c>
      <c r="F97" s="35"/>
      <c r="G97" s="36">
        <v>414</v>
      </c>
      <c r="H97" s="36">
        <v>531</v>
      </c>
      <c r="I97" s="36">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2">
        <v>44774</v>
      </c>
      <c r="C98" s="38">
        <v>315</v>
      </c>
      <c r="D98" s="38">
        <v>541</v>
      </c>
      <c r="E98" s="38">
        <v>541</v>
      </c>
      <c r="F98" s="35"/>
      <c r="G98" s="38">
        <v>414</v>
      </c>
      <c r="H98" s="38">
        <v>531</v>
      </c>
      <c r="I98" s="38">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1">
        <v>44805</v>
      </c>
      <c r="C99" s="36">
        <v>315</v>
      </c>
      <c r="D99" s="36">
        <v>541</v>
      </c>
      <c r="E99" s="36">
        <v>541</v>
      </c>
      <c r="F99" s="35"/>
      <c r="G99" s="36">
        <v>414</v>
      </c>
      <c r="H99" s="36">
        <v>531</v>
      </c>
      <c r="I99" s="36">
        <v>315</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2">
        <v>44835</v>
      </c>
      <c r="C100" s="38">
        <v>316</v>
      </c>
      <c r="D100" s="38">
        <v>532</v>
      </c>
      <c r="E100" s="38">
        <v>532</v>
      </c>
      <c r="F100" s="35"/>
      <c r="G100" s="38">
        <v>418</v>
      </c>
      <c r="H100" s="38">
        <v>513</v>
      </c>
      <c r="I100" s="38">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1">
        <v>44866</v>
      </c>
      <c r="C101" s="36">
        <v>316</v>
      </c>
      <c r="D101" s="36">
        <v>532</v>
      </c>
      <c r="E101" s="36">
        <v>532</v>
      </c>
      <c r="F101" s="35"/>
      <c r="G101" s="36">
        <v>418</v>
      </c>
      <c r="H101" s="36">
        <v>513</v>
      </c>
      <c r="I101" s="36">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2">
        <v>44896</v>
      </c>
      <c r="C102" s="38">
        <v>316</v>
      </c>
      <c r="D102" s="38">
        <v>532</v>
      </c>
      <c r="E102" s="38">
        <v>532</v>
      </c>
      <c r="F102" s="35"/>
      <c r="G102" s="38">
        <v>418</v>
      </c>
      <c r="H102" s="38">
        <v>513</v>
      </c>
      <c r="I102" s="38">
        <v>316</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1">
        <v>44927</v>
      </c>
      <c r="C103" s="36">
        <v>330</v>
      </c>
      <c r="D103" s="36">
        <v>570</v>
      </c>
      <c r="E103" s="36">
        <v>570</v>
      </c>
      <c r="F103" s="35"/>
      <c r="G103" s="36">
        <v>435</v>
      </c>
      <c r="H103" s="36">
        <v>545</v>
      </c>
      <c r="I103" s="36">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2">
        <v>44958</v>
      </c>
      <c r="C104" s="38">
        <v>330</v>
      </c>
      <c r="D104" s="38">
        <v>570</v>
      </c>
      <c r="E104" s="38">
        <v>570</v>
      </c>
      <c r="F104" s="35"/>
      <c r="G104" s="38">
        <v>435</v>
      </c>
      <c r="H104" s="38">
        <v>545</v>
      </c>
      <c r="I104" s="38">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1">
        <v>44986</v>
      </c>
      <c r="C105" s="36">
        <v>330</v>
      </c>
      <c r="D105" s="36">
        <v>570</v>
      </c>
      <c r="E105" s="36">
        <v>570</v>
      </c>
      <c r="F105" s="35"/>
      <c r="G105" s="36">
        <v>435</v>
      </c>
      <c r="H105" s="36">
        <v>545</v>
      </c>
      <c r="I105" s="36">
        <v>330</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2">
        <v>45017</v>
      </c>
      <c r="C106" s="38">
        <v>333</v>
      </c>
      <c r="D106" s="38">
        <v>574</v>
      </c>
      <c r="E106" s="38">
        <v>574</v>
      </c>
      <c r="F106" s="35"/>
      <c r="G106" s="38">
        <v>440</v>
      </c>
      <c r="H106" s="38">
        <v>557</v>
      </c>
      <c r="I106" s="38">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1">
        <v>45047</v>
      </c>
      <c r="C107" s="36">
        <v>333</v>
      </c>
      <c r="D107" s="36">
        <v>574</v>
      </c>
      <c r="E107" s="36">
        <v>574</v>
      </c>
      <c r="F107" s="35"/>
      <c r="G107" s="36">
        <v>440</v>
      </c>
      <c r="H107" s="36">
        <v>557</v>
      </c>
      <c r="I107" s="36">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2">
        <v>45078</v>
      </c>
      <c r="C108" s="38">
        <v>333</v>
      </c>
      <c r="D108" s="38">
        <v>574</v>
      </c>
      <c r="E108" s="38">
        <v>574</v>
      </c>
      <c r="F108" s="35"/>
      <c r="G108" s="38">
        <v>440</v>
      </c>
      <c r="H108" s="38">
        <v>557</v>
      </c>
      <c r="I108" s="38">
        <v>333</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1">
        <v>45108</v>
      </c>
      <c r="C109" s="36">
        <v>348</v>
      </c>
      <c r="D109" s="36">
        <v>612</v>
      </c>
      <c r="E109" s="36">
        <v>612</v>
      </c>
      <c r="F109" s="35"/>
      <c r="G109" s="36">
        <v>458</v>
      </c>
      <c r="H109" s="36">
        <v>597</v>
      </c>
      <c r="I109" s="36">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2">
        <v>45139</v>
      </c>
      <c r="C110" s="38">
        <v>348</v>
      </c>
      <c r="D110" s="38">
        <v>612</v>
      </c>
      <c r="E110" s="38">
        <v>612</v>
      </c>
      <c r="F110" s="35"/>
      <c r="G110" s="38">
        <v>458</v>
      </c>
      <c r="H110" s="38">
        <v>597</v>
      </c>
      <c r="I110" s="38">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1">
        <v>45170</v>
      </c>
      <c r="C111" s="36">
        <v>348</v>
      </c>
      <c r="D111" s="36">
        <v>612</v>
      </c>
      <c r="E111" s="36">
        <v>612</v>
      </c>
      <c r="F111" s="35"/>
      <c r="G111" s="36">
        <v>458</v>
      </c>
      <c r="H111" s="36">
        <v>597</v>
      </c>
      <c r="I111" s="36">
        <v>348</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2">
        <v>45200</v>
      </c>
      <c r="C112" s="38">
        <v>344</v>
      </c>
      <c r="D112" s="38">
        <v>580</v>
      </c>
      <c r="E112" s="38">
        <v>580</v>
      </c>
      <c r="F112" s="35"/>
      <c r="G112" s="38">
        <v>454</v>
      </c>
      <c r="H112" s="38">
        <v>560</v>
      </c>
      <c r="I112" s="38">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1">
        <v>45231</v>
      </c>
      <c r="C113" s="36">
        <v>344</v>
      </c>
      <c r="D113" s="36">
        <v>580</v>
      </c>
      <c r="E113" s="36">
        <v>580</v>
      </c>
      <c r="F113" s="35"/>
      <c r="G113" s="36">
        <v>454</v>
      </c>
      <c r="H113" s="36">
        <v>560</v>
      </c>
      <c r="I113" s="36">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2">
        <v>45261</v>
      </c>
      <c r="C114" s="38">
        <v>344</v>
      </c>
      <c r="D114" s="38">
        <v>580</v>
      </c>
      <c r="E114" s="38">
        <v>580</v>
      </c>
      <c r="F114" s="35"/>
      <c r="G114" s="38">
        <v>454</v>
      </c>
      <c r="H114" s="38">
        <v>560</v>
      </c>
      <c r="I114" s="38">
        <v>344</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1">
        <v>45292</v>
      </c>
      <c r="C115" s="36">
        <v>342</v>
      </c>
      <c r="D115" s="36">
        <v>578</v>
      </c>
      <c r="E115" s="36">
        <v>578</v>
      </c>
      <c r="F115" s="35"/>
      <c r="G115" s="36">
        <v>453</v>
      </c>
      <c r="H115" s="36">
        <v>559</v>
      </c>
      <c r="I115" s="36">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2">
        <v>45323</v>
      </c>
      <c r="C116" s="38">
        <v>342</v>
      </c>
      <c r="D116" s="38">
        <v>578</v>
      </c>
      <c r="E116" s="38">
        <v>578</v>
      </c>
      <c r="F116" s="35"/>
      <c r="G116" s="38">
        <v>453</v>
      </c>
      <c r="H116" s="38">
        <v>559</v>
      </c>
      <c r="I116" s="38">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1">
        <v>45352</v>
      </c>
      <c r="C117" s="36">
        <v>342</v>
      </c>
      <c r="D117" s="36">
        <v>578</v>
      </c>
      <c r="E117" s="36">
        <v>578</v>
      </c>
      <c r="F117" s="35"/>
      <c r="G117" s="36">
        <v>453</v>
      </c>
      <c r="H117" s="36">
        <v>559</v>
      </c>
      <c r="I117" s="36">
        <v>342</v>
      </c>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row>
    <row r="118" spans="2:36" x14ac:dyDescent="0.3">
      <c r="B118" s="42">
        <v>45383</v>
      </c>
      <c r="C118" s="38">
        <v>352</v>
      </c>
      <c r="D118" s="38">
        <v>608</v>
      </c>
      <c r="E118" s="38">
        <v>608</v>
      </c>
      <c r="G118" s="38">
        <v>464</v>
      </c>
      <c r="H118" s="38">
        <v>592</v>
      </c>
      <c r="I118" s="38">
        <v>352</v>
      </c>
    </row>
    <row r="119" spans="2:36" x14ac:dyDescent="0.3">
      <c r="B119" s="41">
        <v>45413</v>
      </c>
      <c r="C119" s="36">
        <v>352</v>
      </c>
      <c r="D119" s="36">
        <v>608</v>
      </c>
      <c r="E119" s="36">
        <v>608</v>
      </c>
      <c r="F119" s="35"/>
      <c r="G119" s="36">
        <v>464</v>
      </c>
      <c r="H119" s="36">
        <v>592</v>
      </c>
      <c r="I119" s="36">
        <v>352</v>
      </c>
    </row>
    <row r="120" spans="2:36" x14ac:dyDescent="0.3">
      <c r="B120" s="42">
        <v>45444</v>
      </c>
      <c r="C120" s="38">
        <v>352</v>
      </c>
      <c r="D120" s="38">
        <v>608</v>
      </c>
      <c r="E120" s="38">
        <v>608</v>
      </c>
      <c r="F120" s="35"/>
      <c r="G120" s="38">
        <v>464</v>
      </c>
      <c r="H120" s="38">
        <v>592</v>
      </c>
      <c r="I120" s="38">
        <v>352</v>
      </c>
    </row>
    <row r="121" spans="2:36" x14ac:dyDescent="0.3">
      <c r="B121" s="41">
        <v>45474</v>
      </c>
      <c r="C121" s="36">
        <v>342</v>
      </c>
      <c r="D121" s="36">
        <v>574</v>
      </c>
      <c r="E121" s="36">
        <v>574</v>
      </c>
      <c r="F121" s="35"/>
      <c r="G121" s="36">
        <v>453</v>
      </c>
      <c r="H121" s="36">
        <v>547</v>
      </c>
      <c r="I121" s="36">
        <v>342</v>
      </c>
    </row>
    <row r="122" spans="2:36" x14ac:dyDescent="0.3">
      <c r="B122" s="42">
        <v>45505</v>
      </c>
      <c r="C122" s="38">
        <v>342</v>
      </c>
      <c r="D122" s="38">
        <v>574</v>
      </c>
      <c r="E122" s="38">
        <v>574</v>
      </c>
      <c r="F122" s="35"/>
      <c r="G122" s="38">
        <v>453</v>
      </c>
      <c r="H122" s="38">
        <v>547</v>
      </c>
      <c r="I122" s="38">
        <v>342</v>
      </c>
    </row>
    <row r="123" spans="2:36" x14ac:dyDescent="0.3">
      <c r="B123" s="41">
        <v>45536</v>
      </c>
      <c r="C123" s="36">
        <v>335</v>
      </c>
      <c r="D123" s="36">
        <v>420</v>
      </c>
      <c r="E123" s="36">
        <v>420</v>
      </c>
      <c r="G123" s="36">
        <v>425</v>
      </c>
      <c r="H123" s="36">
        <v>455</v>
      </c>
      <c r="I123" s="36">
        <v>335</v>
      </c>
    </row>
    <row r="124" spans="2:36" x14ac:dyDescent="0.3">
      <c r="B124" s="42">
        <v>45566</v>
      </c>
      <c r="C124" s="38">
        <v>335</v>
      </c>
      <c r="D124" s="38">
        <v>420</v>
      </c>
      <c r="E124" s="38">
        <v>420</v>
      </c>
      <c r="F124" s="35"/>
      <c r="G124" s="38">
        <v>425</v>
      </c>
      <c r="H124" s="38">
        <v>455</v>
      </c>
      <c r="I124" s="38">
        <v>335</v>
      </c>
    </row>
    <row r="125" spans="2:36" x14ac:dyDescent="0.3">
      <c r="B125" s="41">
        <v>45597</v>
      </c>
      <c r="C125" s="36">
        <v>335</v>
      </c>
      <c r="D125" s="36">
        <v>420</v>
      </c>
      <c r="E125" s="36">
        <v>420</v>
      </c>
      <c r="G125" s="36">
        <v>425</v>
      </c>
      <c r="H125" s="36">
        <v>455</v>
      </c>
      <c r="I125" s="36">
        <v>335</v>
      </c>
    </row>
    <row r="126" spans="2:36" x14ac:dyDescent="0.3">
      <c r="B126" s="42">
        <v>45627</v>
      </c>
      <c r="C126" s="38">
        <v>335</v>
      </c>
      <c r="D126" s="38">
        <v>420</v>
      </c>
      <c r="E126" s="38">
        <v>420</v>
      </c>
      <c r="F126" s="35"/>
      <c r="G126" s="38">
        <v>425</v>
      </c>
      <c r="H126" s="38">
        <v>455</v>
      </c>
      <c r="I126" s="38">
        <v>335</v>
      </c>
    </row>
    <row r="127" spans="2:36" x14ac:dyDescent="0.3">
      <c r="B127" s="41">
        <v>45658</v>
      </c>
      <c r="C127" s="36">
        <v>335</v>
      </c>
      <c r="D127" s="36">
        <v>420</v>
      </c>
      <c r="E127" s="36">
        <v>420</v>
      </c>
      <c r="G127" s="36">
        <v>425</v>
      </c>
      <c r="H127" s="36">
        <v>455</v>
      </c>
      <c r="I127" s="36">
        <v>335</v>
      </c>
    </row>
    <row r="128" spans="2:36" x14ac:dyDescent="0.3">
      <c r="B128" s="42">
        <v>45689</v>
      </c>
      <c r="C128" s="38">
        <v>335</v>
      </c>
      <c r="D128" s="38">
        <v>420</v>
      </c>
      <c r="E128" s="38">
        <v>420</v>
      </c>
      <c r="F128" s="35"/>
      <c r="G128" s="38">
        <v>425</v>
      </c>
      <c r="H128" s="38">
        <v>455</v>
      </c>
      <c r="I128" s="38">
        <v>335</v>
      </c>
    </row>
    <row r="129" spans="1:36" x14ac:dyDescent="0.3">
      <c r="B129" s="41">
        <v>45717</v>
      </c>
      <c r="C129" s="36">
        <v>335</v>
      </c>
      <c r="D129" s="36">
        <v>420</v>
      </c>
      <c r="E129" s="36">
        <v>420</v>
      </c>
      <c r="G129" s="36">
        <v>425</v>
      </c>
      <c r="H129" s="36">
        <v>455</v>
      </c>
      <c r="I129" s="36">
        <v>335</v>
      </c>
    </row>
    <row r="130" spans="1:36" x14ac:dyDescent="0.3">
      <c r="B130" s="42">
        <v>45748</v>
      </c>
      <c r="C130" s="38">
        <v>335</v>
      </c>
      <c r="D130" s="38">
        <v>420</v>
      </c>
      <c r="E130" s="38">
        <v>420</v>
      </c>
      <c r="F130" s="35"/>
      <c r="G130" s="38">
        <v>425</v>
      </c>
      <c r="H130" s="38">
        <v>455</v>
      </c>
      <c r="I130" s="38">
        <v>335</v>
      </c>
    </row>
    <row r="131" spans="1:36" x14ac:dyDescent="0.3">
      <c r="B131" s="41">
        <v>45778</v>
      </c>
      <c r="C131" s="36">
        <v>335</v>
      </c>
      <c r="D131" s="36">
        <v>420</v>
      </c>
      <c r="E131" s="36">
        <v>420</v>
      </c>
      <c r="G131" s="36">
        <v>425</v>
      </c>
      <c r="H131" s="36">
        <v>455</v>
      </c>
      <c r="I131" s="36">
        <v>335</v>
      </c>
    </row>
    <row r="132" spans="1:36" x14ac:dyDescent="0.3">
      <c r="B132" s="42">
        <v>45809</v>
      </c>
      <c r="C132" s="38">
        <v>335</v>
      </c>
      <c r="D132" s="38">
        <v>420</v>
      </c>
      <c r="E132" s="38">
        <v>420</v>
      </c>
      <c r="F132" s="35"/>
      <c r="G132" s="38">
        <v>425</v>
      </c>
      <c r="H132" s="38">
        <v>455</v>
      </c>
      <c r="I132" s="38">
        <v>335</v>
      </c>
    </row>
    <row r="133" spans="1:36" x14ac:dyDescent="0.3">
      <c r="B133" s="41">
        <v>45839</v>
      </c>
      <c r="C133" s="36">
        <v>335</v>
      </c>
      <c r="D133" s="36">
        <v>420</v>
      </c>
      <c r="E133" s="36">
        <v>420</v>
      </c>
      <c r="G133" s="36">
        <v>425</v>
      </c>
      <c r="H133" s="36">
        <v>455</v>
      </c>
      <c r="I133" s="36">
        <v>335</v>
      </c>
    </row>
    <row r="134" spans="1:36" x14ac:dyDescent="0.3">
      <c r="B134" s="42">
        <v>45870</v>
      </c>
      <c r="C134" s="38">
        <v>335</v>
      </c>
      <c r="D134" s="38">
        <v>420</v>
      </c>
      <c r="E134" s="38">
        <v>420</v>
      </c>
      <c r="F134" s="35"/>
      <c r="G134" s="38">
        <v>425</v>
      </c>
      <c r="H134" s="38">
        <v>455</v>
      </c>
      <c r="I134" s="38">
        <v>335</v>
      </c>
    </row>
    <row r="135" spans="1:36" x14ac:dyDescent="0.3">
      <c r="A135" s="95" t="s">
        <v>52</v>
      </c>
      <c r="B135" s="41">
        <v>45901</v>
      </c>
      <c r="C135" s="36">
        <v>335</v>
      </c>
      <c r="D135" s="36">
        <v>420</v>
      </c>
      <c r="E135" s="36">
        <v>420</v>
      </c>
      <c r="G135" s="36">
        <v>425</v>
      </c>
      <c r="H135" s="36">
        <v>455</v>
      </c>
      <c r="I135" s="36">
        <v>335</v>
      </c>
    </row>
    <row r="136" spans="1:36" x14ac:dyDescent="0.3">
      <c r="B136" s="42">
        <v>45931</v>
      </c>
      <c r="C136" s="38">
        <v>335</v>
      </c>
      <c r="D136" s="38">
        <v>420</v>
      </c>
      <c r="E136" s="38">
        <v>420</v>
      </c>
      <c r="F136" s="35"/>
      <c r="G136" s="38">
        <v>425</v>
      </c>
      <c r="H136" s="38">
        <v>455</v>
      </c>
      <c r="I136" s="38">
        <v>335</v>
      </c>
    </row>
    <row r="137" spans="1:36" x14ac:dyDescent="0.3">
      <c r="B137" s="41">
        <v>45962</v>
      </c>
      <c r="C137" s="36">
        <v>335</v>
      </c>
      <c r="D137" s="36">
        <v>420</v>
      </c>
      <c r="E137" s="36">
        <v>420</v>
      </c>
      <c r="G137" s="36">
        <v>425</v>
      </c>
      <c r="H137" s="36">
        <v>455</v>
      </c>
      <c r="I137" s="36">
        <v>335</v>
      </c>
    </row>
    <row r="138" spans="1:36" x14ac:dyDescent="0.3">
      <c r="B138" s="42">
        <v>45992</v>
      </c>
      <c r="C138" s="38">
        <v>335</v>
      </c>
      <c r="D138" s="38">
        <v>420</v>
      </c>
      <c r="E138" s="38">
        <v>420</v>
      </c>
      <c r="F138" s="35"/>
      <c r="G138" s="38">
        <v>425</v>
      </c>
      <c r="H138" s="38">
        <v>455</v>
      </c>
      <c r="I138" s="38">
        <v>335</v>
      </c>
    </row>
    <row r="139" spans="1:36" x14ac:dyDescent="0.3">
      <c r="B139" s="41">
        <v>46023</v>
      </c>
      <c r="C139" s="36">
        <v>335</v>
      </c>
      <c r="D139" s="36">
        <v>420</v>
      </c>
      <c r="E139" s="36">
        <v>420</v>
      </c>
      <c r="G139" s="36">
        <v>425</v>
      </c>
      <c r="H139" s="36">
        <v>455</v>
      </c>
      <c r="I139" s="36">
        <v>335</v>
      </c>
    </row>
    <row r="140" spans="1:36" x14ac:dyDescent="0.3">
      <c r="B140" s="42">
        <v>46054</v>
      </c>
      <c r="C140" s="38">
        <v>335</v>
      </c>
      <c r="D140" s="38">
        <v>420</v>
      </c>
      <c r="E140" s="38">
        <v>420</v>
      </c>
      <c r="F140" s="35"/>
      <c r="G140" s="38">
        <v>425</v>
      </c>
      <c r="H140" s="38">
        <v>455</v>
      </c>
      <c r="I140" s="38">
        <v>335</v>
      </c>
    </row>
    <row r="141" spans="1:36" x14ac:dyDescent="0.3">
      <c r="B141" s="41">
        <v>46082</v>
      </c>
      <c r="C141" s="36">
        <v>335</v>
      </c>
      <c r="D141" s="36">
        <v>420</v>
      </c>
      <c r="E141" s="36">
        <v>420</v>
      </c>
      <c r="G141" s="36">
        <v>425</v>
      </c>
      <c r="H141" s="36">
        <v>455</v>
      </c>
      <c r="I141" s="36">
        <v>335</v>
      </c>
    </row>
    <row r="142" spans="1:36" x14ac:dyDescent="0.3">
      <c r="A142" s="95" t="s">
        <v>52</v>
      </c>
      <c r="B142" s="42">
        <v>46113</v>
      </c>
      <c r="C142" s="38">
        <v>336</v>
      </c>
      <c r="D142" s="38">
        <v>417</v>
      </c>
      <c r="E142" s="38">
        <v>417</v>
      </c>
      <c r="F142" s="35"/>
      <c r="G142" s="38">
        <v>426</v>
      </c>
      <c r="H142" s="38">
        <v>451</v>
      </c>
      <c r="I142" s="38">
        <v>336</v>
      </c>
    </row>
    <row r="143" spans="1:36" x14ac:dyDescent="0.3">
      <c r="B143" s="41">
        <v>46143</v>
      </c>
      <c r="C143" s="36">
        <v>336</v>
      </c>
      <c r="D143" s="36">
        <v>417</v>
      </c>
      <c r="E143" s="36">
        <v>417</v>
      </c>
      <c r="G143" s="36">
        <v>426</v>
      </c>
      <c r="H143" s="36">
        <v>451</v>
      </c>
      <c r="I143" s="36">
        <v>336</v>
      </c>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42">
        <v>46174</v>
      </c>
      <c r="C144" s="38">
        <v>336</v>
      </c>
      <c r="D144" s="38">
        <v>417</v>
      </c>
      <c r="E144" s="38">
        <v>417</v>
      </c>
      <c r="F144" s="35"/>
      <c r="G144" s="38">
        <v>426</v>
      </c>
      <c r="H144" s="38">
        <v>451</v>
      </c>
      <c r="I144" s="38">
        <v>336</v>
      </c>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1: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1:36" x14ac:dyDescent="0.3">
      <c r="A146" s="95" t="s">
        <v>57</v>
      </c>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1:36" x14ac:dyDescent="0.3">
      <c r="A147" s="95" t="s">
        <v>62</v>
      </c>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1:36" x14ac:dyDescent="0.3">
      <c r="A148" s="95" t="s">
        <v>59</v>
      </c>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1:36" x14ac:dyDescent="0.3">
      <c r="A149" s="95" t="s">
        <v>63</v>
      </c>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1: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1: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1: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1: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1: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1: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1: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1: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1: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1: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1: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B234" s="16"/>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B235" s="16"/>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B236" s="16"/>
      <c r="C236" s="24"/>
      <c r="D236" s="24"/>
      <c r="E236" s="24"/>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B237" s="16"/>
      <c r="C237" s="24"/>
      <c r="D237" s="24"/>
      <c r="E237" s="24"/>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B238" s="16"/>
      <c r="C238" s="24"/>
      <c r="D238" s="24"/>
      <c r="E238" s="24"/>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4"/>
      <c r="D239" s="24"/>
      <c r="E239" s="24"/>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4"/>
      <c r="D240" s="24"/>
      <c r="E240" s="24"/>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3:36" x14ac:dyDescent="0.3">
      <c r="C337" s="25"/>
      <c r="D337" s="25"/>
      <c r="E337" s="25"/>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3:36" x14ac:dyDescent="0.3">
      <c r="C338" s="25"/>
      <c r="D338" s="25"/>
      <c r="E338" s="25"/>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3:36" x14ac:dyDescent="0.3">
      <c r="C339" s="25"/>
      <c r="D339" s="25"/>
      <c r="E339" s="25"/>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3:36" x14ac:dyDescent="0.3">
      <c r="C340" s="25"/>
      <c r="D340" s="25"/>
      <c r="E340" s="25"/>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3:36" x14ac:dyDescent="0.3">
      <c r="C341" s="25"/>
      <c r="D341" s="25"/>
      <c r="E341" s="25"/>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3: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3: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3: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3: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3: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row r="347" spans="3:36" x14ac:dyDescent="0.3">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row>
    <row r="348" spans="3:36" x14ac:dyDescent="0.3">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row>
    <row r="349" spans="3:36" x14ac:dyDescent="0.3">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row>
    <row r="350" spans="3:36" x14ac:dyDescent="0.3">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row>
    <row r="351" spans="3:36" x14ac:dyDescent="0.3">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row>
  </sheetData>
  <mergeCells count="2">
    <mergeCell ref="C7:E7"/>
    <mergeCell ref="G7:I7"/>
  </mergeCell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53</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1" t="s">
        <v>25</v>
      </c>
      <c r="G6" s="102"/>
      <c r="H6" s="102"/>
      <c r="I6" s="102"/>
      <c r="J6" s="102"/>
      <c r="K6" s="16"/>
      <c r="L6" s="103" t="s">
        <v>26</v>
      </c>
      <c r="M6" s="104"/>
      <c r="N6" s="104"/>
      <c r="O6" s="104"/>
      <c r="P6" s="104"/>
      <c r="Q6" s="104"/>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5" t="s">
        <v>1</v>
      </c>
      <c r="D8" s="106"/>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zoomScale="110" zoomScaleNormal="110" workbookViewId="0">
      <selection activeCell="G30" sqref="G30"/>
    </sheetView>
  </sheetViews>
  <sheetFormatPr defaultRowHeight="12.5" x14ac:dyDescent="0.25"/>
  <cols>
    <col min="1" max="1" width="8.69921875" style="2" customWidth="1"/>
    <col min="2" max="2" width="10" style="2" customWidth="1"/>
    <col min="3" max="3" width="19.69921875" style="2" customWidth="1"/>
    <col min="4" max="4" width="25.5" style="2" customWidth="1"/>
    <col min="5" max="5" width="31.5976562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10"/>
      <c r="C2" s="114" t="s">
        <v>46</v>
      </c>
      <c r="D2" s="114"/>
      <c r="E2" s="114"/>
      <c r="F2" s="44"/>
      <c r="G2" s="45" t="s">
        <v>10</v>
      </c>
    </row>
    <row r="3" spans="1:17" ht="15" customHeight="1" x14ac:dyDescent="0.25">
      <c r="B3" s="111"/>
      <c r="C3" s="46" t="s">
        <v>2</v>
      </c>
      <c r="D3" s="46" t="s">
        <v>5</v>
      </c>
      <c r="E3" s="80" t="s">
        <v>3</v>
      </c>
      <c r="F3" s="19" t="s">
        <v>44</v>
      </c>
      <c r="G3" s="47">
        <f>B4</f>
        <v>46174</v>
      </c>
    </row>
    <row r="4" spans="1:17" ht="15.5" x14ac:dyDescent="0.25">
      <c r="B4" s="48">
        <v>46174</v>
      </c>
      <c r="C4" s="49">
        <f>VLOOKUP($B4,'AMPE-MCVE'!$B:$K,8,FALSE)</f>
        <v>15.125</v>
      </c>
      <c r="D4" s="49">
        <f>VLOOKUP($B4,'AMPE-MCVE'!$B:$K,9,FALSE)</f>
        <v>0.87321164282190433</v>
      </c>
      <c r="E4" s="49">
        <f>VLOOKUP($B4,'AMPE-MCVE'!$B:$K,10,FALSE)</f>
        <v>16.930783190066858</v>
      </c>
      <c r="F4" s="50">
        <f>VLOOKUP($B4,'AMPE-MCVE'!$B:$D,2,FALSE)</f>
        <v>32.928994832888762</v>
      </c>
      <c r="G4" s="49"/>
      <c r="P4" s="78"/>
      <c r="Q4" s="78"/>
    </row>
    <row r="5" spans="1:17" ht="15.5" x14ac:dyDescent="0.25">
      <c r="B5" s="51">
        <f>EDATE(B4,-1)</f>
        <v>46143</v>
      </c>
      <c r="C5" s="52">
        <f>VLOOKUP($B5,'AMPE-MCVE'!$B:$K,8,FALSE)</f>
        <v>15.59375</v>
      </c>
      <c r="D5" s="52">
        <f>VLOOKUP($B5,'AMPE-MCVE'!$B:$K,9,FALSE)</f>
        <v>0.97681302417365568</v>
      </c>
      <c r="E5" s="52">
        <f>VLOOKUP($B5,'AMPE-MCVE'!$B:$K,10,FALSE)</f>
        <v>18.964937917860553</v>
      </c>
      <c r="F5" s="53">
        <f>VLOOKUP($B5,'AMPE-MCVE'!$B:$D,2,FALSE)</f>
        <v>35.535500942034204</v>
      </c>
      <c r="G5" s="70">
        <f>($F$4-F5)/F5</f>
        <v>-7.3349355997462826E-2</v>
      </c>
      <c r="P5" s="78"/>
      <c r="Q5" s="78"/>
    </row>
    <row r="6" spans="1:17" ht="15.5" x14ac:dyDescent="0.25">
      <c r="B6" s="54">
        <f>EDATE(B4,-12)</f>
        <v>45809</v>
      </c>
      <c r="C6" s="49">
        <f>VLOOKUP($B6,'AMPE-MCVE'!$B:$K,8,FALSE)</f>
        <v>30.338541666666668</v>
      </c>
      <c r="D6" s="49">
        <f>VLOOKUP($B6,'AMPE-MCVE'!$B:$K,9,FALSE)</f>
        <v>0.71879625061667485</v>
      </c>
      <c r="E6" s="49">
        <f>VLOOKUP($B6,'AMPE-MCVE'!$B:$K,10,FALSE)</f>
        <v>14.198882521489972</v>
      </c>
      <c r="F6" s="50">
        <f>VLOOKUP($B6,'AMPE-MCVE'!$B:$D,2,FALSE)</f>
        <v>45.256220438773312</v>
      </c>
      <c r="G6" s="55">
        <f>($F$4-F6)/F6</f>
        <v>-0.27238743064198057</v>
      </c>
      <c r="P6" s="78"/>
      <c r="Q6" s="78"/>
    </row>
    <row r="7" spans="1:17" ht="15.5" x14ac:dyDescent="0.25">
      <c r="B7" s="56"/>
      <c r="C7" s="57"/>
      <c r="D7" s="57"/>
      <c r="E7" s="57"/>
      <c r="F7" s="58"/>
      <c r="G7" s="59"/>
      <c r="P7" s="78"/>
      <c r="Q7" s="78"/>
    </row>
    <row r="8" spans="1:17" ht="15.5" x14ac:dyDescent="0.35">
      <c r="B8" s="110"/>
      <c r="C8" s="109" t="s">
        <v>47</v>
      </c>
      <c r="D8" s="109"/>
      <c r="E8" s="109"/>
      <c r="F8" s="60"/>
      <c r="G8" s="45" t="s">
        <v>10</v>
      </c>
      <c r="P8" s="78"/>
      <c r="Q8" s="78"/>
    </row>
    <row r="9" spans="1:17" ht="15.5" x14ac:dyDescent="0.25">
      <c r="B9" s="111"/>
      <c r="C9" s="46" t="s">
        <v>7</v>
      </c>
      <c r="D9" s="46" t="s">
        <v>9</v>
      </c>
      <c r="E9" s="46" t="s">
        <v>8</v>
      </c>
      <c r="F9" s="19" t="s">
        <v>45</v>
      </c>
      <c r="G9" s="47">
        <f>B10</f>
        <v>46174</v>
      </c>
      <c r="P9" s="78"/>
      <c r="Q9" s="78"/>
    </row>
    <row r="10" spans="1:17" ht="15.5" x14ac:dyDescent="0.25">
      <c r="B10" s="48">
        <f>B4</f>
        <v>46174</v>
      </c>
      <c r="C10" s="49">
        <f>VLOOKUP($B10,'AMPE-MCVE'!$B:$R,15,FALSE)</f>
        <v>27.810383747178328</v>
      </c>
      <c r="D10" s="49">
        <f>VLOOKUP($B10,'AMPE-MCVE'!$B:$R,16,FALSE)</f>
        <v>4.658682634730539</v>
      </c>
      <c r="E10" s="49">
        <f>VLOOKUP($B10,'AMPE-MCVE'!$B:$R,17,FALSE)</f>
        <v>1.2995260663507109</v>
      </c>
      <c r="F10" s="50">
        <f>VLOOKUP($B10,'AMPE-MCVE'!$B:$D,3,FALSE)</f>
        <v>33.768592448259575</v>
      </c>
      <c r="G10" s="49"/>
    </row>
    <row r="11" spans="1:17" ht="15.5" x14ac:dyDescent="0.25">
      <c r="B11" s="51">
        <f>B5</f>
        <v>46143</v>
      </c>
      <c r="C11" s="52">
        <f>VLOOKUP($B11,'AMPE-MCVE'!$B:$R,15,FALSE)</f>
        <v>28.37471783295711</v>
      </c>
      <c r="D11" s="52">
        <f>VLOOKUP($B11,'AMPE-MCVE'!$B:$R,16,FALSE)</f>
        <v>4.8083832335329344</v>
      </c>
      <c r="E11" s="52">
        <f>VLOOKUP($B11,'AMPE-MCVE'!$B:$R,17,FALSE)</f>
        <v>1.3400473933649288</v>
      </c>
      <c r="F11" s="53">
        <f>VLOOKUP($B11,'AMPE-MCVE'!$B:$D,3,FALSE)</f>
        <v>34.523148459854973</v>
      </c>
      <c r="G11" s="70">
        <f>($F$10-F11)/F11</f>
        <v>-2.1856523673465886E-2</v>
      </c>
    </row>
    <row r="12" spans="1:17" ht="15.5" x14ac:dyDescent="0.25">
      <c r="B12" s="54">
        <f>B6</f>
        <v>45809</v>
      </c>
      <c r="C12" s="49">
        <f>VLOOKUP($B12,'AMPE-MCVE'!$B:$R,15,FALSE)</f>
        <v>39.221218961625283</v>
      </c>
      <c r="D12" s="49">
        <f>VLOOKUP($B12,'AMPE-MCVE'!$B:$R,16,FALSE)</f>
        <v>2.3296594471724927</v>
      </c>
      <c r="E12" s="49">
        <f>VLOOKUP($B12,'AMPE-MCVE'!$B:$R,17,FALSE)</f>
        <v>2.614691943127962</v>
      </c>
      <c r="F12" s="50">
        <f>VLOOKUP($B12,'AMPE-MCVE'!$B:$D,3,FALSE)</f>
        <v>44.165570351925737</v>
      </c>
      <c r="G12" s="55">
        <f>($F$10-F12)/F12</f>
        <v>-0.23540911666756786</v>
      </c>
    </row>
    <row r="13" spans="1:17" ht="15.5" x14ac:dyDescent="0.35">
      <c r="B13" s="61" t="s">
        <v>11</v>
      </c>
      <c r="C13" s="57"/>
      <c r="D13" s="62"/>
      <c r="E13" s="62"/>
      <c r="F13" s="62"/>
      <c r="G13" s="62"/>
    </row>
    <row r="16" spans="1:17" ht="13" hidden="1" x14ac:dyDescent="0.3">
      <c r="A16" s="73">
        <v>2014</v>
      </c>
      <c r="B16" s="85" t="s">
        <v>54</v>
      </c>
    </row>
    <row r="17" spans="2:7" ht="15.5" hidden="1" x14ac:dyDescent="0.35">
      <c r="B17" s="110"/>
      <c r="C17" s="109" t="s">
        <v>31</v>
      </c>
      <c r="D17" s="109"/>
      <c r="E17" s="109"/>
      <c r="F17" s="44"/>
      <c r="G17" s="45" t="s">
        <v>10</v>
      </c>
    </row>
    <row r="18" spans="2:7" ht="15.5" hidden="1" x14ac:dyDescent="0.25">
      <c r="B18" s="111"/>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10"/>
      <c r="C23" s="109" t="s">
        <v>32</v>
      </c>
      <c r="D23" s="109"/>
      <c r="E23" s="109"/>
      <c r="F23" s="60"/>
      <c r="G23" s="45" t="s">
        <v>10</v>
      </c>
    </row>
    <row r="24" spans="2:7" ht="12.75" hidden="1" customHeight="1" x14ac:dyDescent="0.25">
      <c r="B24" s="111"/>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4">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3">
        <f>F25-F26</f>
        <v>2.0899740312248127</v>
      </c>
      <c r="G28" s="62"/>
    </row>
    <row r="31" spans="2:7" ht="15.5" x14ac:dyDescent="0.35">
      <c r="C31" s="112" t="s">
        <v>43</v>
      </c>
      <c r="D31" s="109"/>
      <c r="E31" s="113"/>
    </row>
    <row r="32" spans="2:7" ht="15.5" x14ac:dyDescent="0.25">
      <c r="C32" s="19" t="s">
        <v>64</v>
      </c>
      <c r="D32" s="19" t="s">
        <v>65</v>
      </c>
      <c r="E32" s="19" t="s">
        <v>66</v>
      </c>
    </row>
    <row r="33" spans="1:6" ht="15.5" x14ac:dyDescent="0.25">
      <c r="C33" s="48">
        <f>EDATE(C34,-1)</f>
        <v>46023</v>
      </c>
      <c r="D33" s="79">
        <f>VLOOKUP($C33,MMV!$B:$D,2,FALSE)</f>
        <v>31.44435353288025</v>
      </c>
      <c r="E33" s="79">
        <f>VLOOKUP($C33,MMV!$B:$D,3,FALSE)</f>
        <v>0.2723497859739652</v>
      </c>
    </row>
    <row r="34" spans="1:6" ht="15.5" x14ac:dyDescent="0.25">
      <c r="A34" s="3"/>
      <c r="C34" s="51">
        <f t="shared" ref="C34:C36" si="0">EDATE(C35,-1)</f>
        <v>46054</v>
      </c>
      <c r="D34" s="52">
        <f>VLOOKUP($C34,MMV!$B:$D,2,FALSE)</f>
        <v>32.716651937149955</v>
      </c>
      <c r="E34" s="52">
        <f>VLOOKUP($C34,MMV!$B:$D,3,FALSE)</f>
        <v>1.272298404269705</v>
      </c>
    </row>
    <row r="35" spans="1:6" ht="15.5" x14ac:dyDescent="0.25">
      <c r="C35" s="48">
        <f t="shared" si="0"/>
        <v>46082</v>
      </c>
      <c r="D35" s="49">
        <f>VLOOKUP($C35,MMV!$B:$D,2,FALSE)</f>
        <v>35.37894512141569</v>
      </c>
      <c r="E35" s="49">
        <f>VLOOKUP($C35,MMV!$B:$D,3,FALSE)</f>
        <v>2.6622931842657351</v>
      </c>
    </row>
    <row r="36" spans="1:6" ht="15.5" x14ac:dyDescent="0.25">
      <c r="C36" s="51">
        <f t="shared" si="0"/>
        <v>46113</v>
      </c>
      <c r="D36" s="52">
        <f>VLOOKUP($C36,MMV!$B:$D,2,FALSE)</f>
        <v>34.909393588120082</v>
      </c>
      <c r="E36" s="52">
        <f>VLOOKUP($C36,MMV!$B:$D,3,FALSE)</f>
        <v>-0.46955153329560773</v>
      </c>
    </row>
    <row r="37" spans="1:6" ht="15.5" x14ac:dyDescent="0.25">
      <c r="C37" s="48">
        <f>EDATE(C38,-1)</f>
        <v>46143</v>
      </c>
      <c r="D37" s="49">
        <f>VLOOKUP($C37,MMV!$B:$D,2,FALSE)</f>
        <v>34.725618956290823</v>
      </c>
      <c r="E37" s="49">
        <f>VLOOKUP($C37,MMV!$B:$D,3,FALSE)</f>
        <v>-0.18377463182925879</v>
      </c>
    </row>
    <row r="38" spans="1:6" ht="15.5" x14ac:dyDescent="0.25">
      <c r="C38" s="51">
        <f>B4</f>
        <v>46174</v>
      </c>
      <c r="D38" s="52">
        <f>VLOOKUP($C38,MMV!$B:$D,2,FALSE)</f>
        <v>33.600672925185414</v>
      </c>
      <c r="E38" s="52">
        <f>VLOOKUP($C38,MMV!$B:$D,3,FALSE)</f>
        <v>-1.1249460311054094</v>
      </c>
      <c r="F38" s="88"/>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1:M31"/>
  <sheetViews>
    <sheetView showGridLines="0" topLeftCell="C1" zoomScale="89" zoomScaleNormal="110" workbookViewId="0">
      <selection activeCell="Q33" sqref="Q33"/>
    </sheetView>
  </sheetViews>
  <sheetFormatPr defaultColWidth="9.09765625" defaultRowHeight="12.5" x14ac:dyDescent="0.25"/>
  <cols>
    <col min="1" max="16384" width="9.09765625" style="1"/>
  </cols>
  <sheetData>
    <row r="31" spans="2:13" ht="15.5" x14ac:dyDescent="0.25">
      <c r="B31" t="s">
        <v>68</v>
      </c>
      <c r="M31" s="124" t="s">
        <v>69</v>
      </c>
    </row>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zoomScaleNormal="100" workbookViewId="0"/>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5" t="s">
        <v>39</v>
      </c>
      <c r="B4" s="115"/>
      <c r="C4" s="115"/>
      <c r="D4" s="115"/>
      <c r="E4" s="115"/>
      <c r="F4" s="115"/>
      <c r="G4" s="115"/>
      <c r="H4" s="115"/>
      <c r="I4" s="115"/>
      <c r="J4" s="115"/>
      <c r="K4" s="115"/>
    </row>
    <row r="5" spans="1:11" s="27" customFormat="1" ht="34.5" customHeight="1" x14ac:dyDescent="0.3">
      <c r="A5" s="115"/>
      <c r="B5" s="115"/>
      <c r="C5" s="115"/>
      <c r="D5" s="115"/>
      <c r="E5" s="115"/>
      <c r="F5" s="115"/>
      <c r="G5" s="115"/>
      <c r="H5" s="115"/>
      <c r="I5" s="115"/>
      <c r="J5" s="115"/>
      <c r="K5" s="115"/>
    </row>
    <row r="6" spans="1:11" s="27" customFormat="1" ht="34.5" customHeight="1" x14ac:dyDescent="0.3">
      <c r="A6" s="96" t="s">
        <v>58</v>
      </c>
      <c r="B6" s="91"/>
      <c r="C6" s="91"/>
      <c r="D6" s="91"/>
      <c r="E6" s="91"/>
      <c r="F6" s="91"/>
      <c r="G6" s="91"/>
      <c r="H6" s="91"/>
      <c r="I6" s="91"/>
      <c r="J6" s="91"/>
      <c r="K6" s="91"/>
    </row>
    <row r="7" spans="1:11" s="29" customFormat="1" ht="21" customHeight="1" x14ac:dyDescent="0.35">
      <c r="A7" s="29" t="s">
        <v>34</v>
      </c>
    </row>
    <row r="8" spans="1:11" s="29" customFormat="1" ht="21" customHeight="1" x14ac:dyDescent="0.35">
      <c r="A8" s="89" t="s">
        <v>56</v>
      </c>
    </row>
    <row r="9" spans="1:11" s="27" customFormat="1" ht="51" customHeight="1" x14ac:dyDescent="0.3">
      <c r="A9" s="116" t="s">
        <v>20</v>
      </c>
      <c r="B9" s="116"/>
      <c r="C9" s="116"/>
      <c r="D9" s="116"/>
      <c r="E9" s="116"/>
      <c r="F9" s="116"/>
      <c r="G9" s="116"/>
      <c r="H9" s="116"/>
      <c r="I9" s="116"/>
      <c r="J9" s="116"/>
      <c r="K9" s="116"/>
    </row>
    <row r="10" spans="1:11" s="27" customFormat="1" ht="9.75" customHeight="1" x14ac:dyDescent="0.3"/>
    <row r="11" spans="1:11" s="27" customFormat="1" x14ac:dyDescent="0.3">
      <c r="A11" s="99" t="s">
        <v>33</v>
      </c>
    </row>
    <row r="12" spans="1:11" s="27" customFormat="1" ht="15" customHeight="1" thickBot="1" x14ac:dyDescent="0.35"/>
    <row r="13" spans="1:11" x14ac:dyDescent="0.35">
      <c r="A13" s="118" t="s">
        <v>12</v>
      </c>
      <c r="B13" s="118"/>
      <c r="C13" s="118"/>
      <c r="D13" s="118"/>
      <c r="E13" s="118"/>
      <c r="F13" s="118"/>
      <c r="G13" s="118"/>
      <c r="H13" s="118"/>
      <c r="I13" s="118"/>
      <c r="J13" s="118"/>
      <c r="K13" s="118"/>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9" t="s">
        <v>13</v>
      </c>
      <c r="B16" s="119"/>
      <c r="C16" s="119"/>
      <c r="D16" s="119"/>
      <c r="E16" s="119"/>
      <c r="F16" s="119"/>
      <c r="G16" s="119"/>
      <c r="H16" s="119"/>
      <c r="I16" s="119"/>
      <c r="J16" s="119"/>
      <c r="K16" s="119"/>
    </row>
    <row r="17" spans="1:11" s="30" customFormat="1" ht="13.4" customHeight="1" x14ac:dyDescent="0.3">
      <c r="A17" s="119"/>
      <c r="B17" s="119"/>
      <c r="C17" s="119"/>
      <c r="D17" s="119"/>
      <c r="E17" s="119"/>
      <c r="F17" s="119"/>
      <c r="G17" s="119"/>
      <c r="H17" s="119"/>
      <c r="I17" s="119"/>
      <c r="J17" s="119"/>
      <c r="K17" s="119"/>
    </row>
    <row r="18" spans="1:11" s="30" customFormat="1" ht="13.4" customHeight="1" x14ac:dyDescent="0.3">
      <c r="A18" s="119"/>
      <c r="B18" s="119"/>
      <c r="C18" s="119"/>
      <c r="D18" s="119"/>
      <c r="E18" s="119"/>
      <c r="F18" s="119"/>
      <c r="G18" s="119"/>
      <c r="H18" s="119"/>
      <c r="I18" s="119"/>
      <c r="J18" s="119"/>
      <c r="K18" s="119"/>
    </row>
    <row r="19" spans="1:11" s="30" customFormat="1" ht="13.4" customHeight="1" x14ac:dyDescent="0.3">
      <c r="A19" s="119"/>
      <c r="B19" s="119"/>
      <c r="C19" s="119"/>
      <c r="D19" s="119"/>
      <c r="E19" s="119"/>
      <c r="F19" s="119"/>
      <c r="G19" s="119"/>
      <c r="H19" s="119"/>
      <c r="I19" s="119"/>
      <c r="J19" s="119"/>
      <c r="K19" s="119"/>
    </row>
    <row r="20" spans="1:11" s="30" customFormat="1" x14ac:dyDescent="0.3">
      <c r="A20" s="119"/>
      <c r="B20" s="119"/>
      <c r="C20" s="119"/>
      <c r="D20" s="119"/>
      <c r="E20" s="119"/>
      <c r="F20" s="119"/>
      <c r="G20" s="119"/>
      <c r="H20" s="119"/>
      <c r="I20" s="119"/>
      <c r="J20" s="119"/>
      <c r="K20" s="119"/>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9"/>
      <c r="B22" s="119"/>
      <c r="C22" s="119"/>
      <c r="D22" s="119"/>
      <c r="E22" s="119"/>
      <c r="F22" s="119"/>
      <c r="G22" s="119"/>
      <c r="H22" s="119"/>
      <c r="I22" s="119"/>
      <c r="J22" s="119"/>
      <c r="K22" s="119"/>
    </row>
    <row r="23" spans="1:11" s="30" customFormat="1" ht="15" customHeight="1" x14ac:dyDescent="0.3">
      <c r="A23" s="119" t="s">
        <v>61</v>
      </c>
      <c r="B23" s="119"/>
      <c r="C23" s="119"/>
      <c r="D23" s="119"/>
      <c r="E23" s="119"/>
      <c r="F23" s="119"/>
      <c r="G23" s="119"/>
      <c r="H23" s="119"/>
      <c r="I23" s="119"/>
      <c r="J23" s="119"/>
      <c r="K23" s="119"/>
    </row>
    <row r="24" spans="1:11" ht="15" customHeight="1" thickBot="1" x14ac:dyDescent="0.35">
      <c r="A24" s="65"/>
      <c r="B24" s="65"/>
      <c r="C24" s="65"/>
      <c r="D24" s="65"/>
      <c r="E24" s="65"/>
      <c r="F24" s="65"/>
      <c r="G24" s="65"/>
      <c r="H24" s="65"/>
      <c r="I24" s="65"/>
      <c r="J24" s="65"/>
      <c r="K24" s="65"/>
    </row>
    <row r="25" spans="1:11" x14ac:dyDescent="0.35">
      <c r="A25" s="118" t="s">
        <v>14</v>
      </c>
      <c r="B25" s="118"/>
      <c r="C25" s="118"/>
      <c r="D25" s="118"/>
      <c r="E25" s="118"/>
      <c r="F25" s="118"/>
      <c r="G25" s="118"/>
      <c r="H25" s="118"/>
      <c r="I25" s="118"/>
      <c r="J25" s="118"/>
      <c r="K25" s="118"/>
    </row>
    <row r="26" spans="1:11" ht="15" customHeight="1" x14ac:dyDescent="0.35">
      <c r="A26" s="64"/>
      <c r="B26" s="64"/>
      <c r="C26" s="64"/>
      <c r="D26" s="64"/>
      <c r="E26" s="64"/>
      <c r="F26" s="64"/>
      <c r="G26" s="64"/>
      <c r="H26" s="64"/>
      <c r="I26" s="64"/>
      <c r="J26" s="64"/>
      <c r="K26" s="64"/>
    </row>
    <row r="27" spans="1:11" x14ac:dyDescent="0.3">
      <c r="A27" s="120" t="s">
        <v>23</v>
      </c>
      <c r="B27" s="121" t="s">
        <v>55</v>
      </c>
      <c r="C27" s="122"/>
      <c r="D27" s="122"/>
      <c r="E27" s="122"/>
      <c r="F27" s="122"/>
      <c r="G27" s="122"/>
      <c r="H27" s="122"/>
      <c r="I27" s="122"/>
      <c r="J27" s="122"/>
      <c r="K27" s="122"/>
    </row>
    <row r="28" spans="1:11" x14ac:dyDescent="0.3">
      <c r="A28" s="120"/>
      <c r="B28" s="122"/>
      <c r="C28" s="122"/>
      <c r="D28" s="122"/>
      <c r="E28" s="122"/>
      <c r="F28" s="122"/>
      <c r="G28" s="122"/>
      <c r="H28" s="122"/>
      <c r="I28" s="122"/>
      <c r="J28" s="122"/>
      <c r="K28" s="122"/>
    </row>
    <row r="29" spans="1:11" x14ac:dyDescent="0.3">
      <c r="A29" s="65"/>
      <c r="B29" s="122"/>
      <c r="C29" s="122"/>
      <c r="D29" s="122"/>
      <c r="E29" s="122"/>
      <c r="F29" s="122"/>
      <c r="G29" s="122"/>
      <c r="H29" s="122"/>
      <c r="I29" s="122"/>
      <c r="J29" s="122"/>
      <c r="K29" s="122"/>
    </row>
    <row r="30" spans="1:11" x14ac:dyDescent="0.3">
      <c r="B30" s="122"/>
      <c r="C30" s="122"/>
      <c r="D30" s="122"/>
      <c r="E30" s="122"/>
      <c r="F30" s="122"/>
      <c r="G30" s="122"/>
      <c r="H30" s="122"/>
      <c r="I30" s="122"/>
      <c r="J30" s="122"/>
      <c r="K30" s="122"/>
    </row>
    <row r="31" spans="1:11" x14ac:dyDescent="0.3">
      <c r="B31" s="122"/>
      <c r="C31" s="122"/>
      <c r="D31" s="122"/>
      <c r="E31" s="122"/>
      <c r="F31" s="122"/>
      <c r="G31" s="122"/>
      <c r="H31" s="122"/>
      <c r="I31" s="122"/>
      <c r="J31" s="122"/>
      <c r="K31" s="122"/>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3" t="s">
        <v>19</v>
      </c>
      <c r="C34" s="123"/>
      <c r="D34" s="123"/>
      <c r="E34" s="123"/>
      <c r="F34" s="123"/>
      <c r="G34" s="123"/>
      <c r="H34" s="123"/>
      <c r="I34" s="123"/>
      <c r="J34" s="123"/>
      <c r="K34" s="123"/>
    </row>
    <row r="35" spans="1:11" ht="15" customHeight="1" thickBot="1" x14ac:dyDescent="0.35">
      <c r="A35" s="69"/>
      <c r="B35" s="117"/>
      <c r="C35" s="117"/>
      <c r="D35" s="117"/>
      <c r="E35" s="117"/>
      <c r="F35" s="117"/>
      <c r="G35" s="117"/>
      <c r="H35" s="117"/>
      <c r="I35" s="117"/>
      <c r="J35" s="117"/>
      <c r="K35" s="117"/>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AMPE-MCVE</vt:lpstr>
      <vt:lpstr>MMV</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Soumya Behera</cp:lastModifiedBy>
  <dcterms:created xsi:type="dcterms:W3CDTF">2019-09-17T09:10:32Z</dcterms:created>
  <dcterms:modified xsi:type="dcterms:W3CDTF">2026-06-25T11:31:26Z</dcterms:modified>
</cp:coreProperties>
</file>